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C419" i="1"/>
  <c r="C418" i="1"/>
  <c r="C417" i="1"/>
  <c r="C414" i="1"/>
  <c r="C413" i="1"/>
  <c r="C412" i="1"/>
  <c r="C411" i="1"/>
  <c r="C410" i="1"/>
  <c r="C409" i="1"/>
  <c r="C408" i="1"/>
  <c r="G403" i="1"/>
  <c r="G402" i="1"/>
  <c r="G401" i="1"/>
  <c r="G400" i="1"/>
  <c r="G396" i="1"/>
  <c r="G395" i="1"/>
  <c r="G394" i="1"/>
  <c r="G393" i="1"/>
  <c r="G392" i="1"/>
  <c r="G391" i="1"/>
  <c r="G390" i="1"/>
  <c r="C403" i="1"/>
  <c r="C402" i="1"/>
  <c r="C401" i="1"/>
  <c r="C400" i="1"/>
  <c r="C395" i="1"/>
  <c r="C396" i="1"/>
  <c r="C394" i="1"/>
  <c r="C393" i="1"/>
  <c r="C392" i="1"/>
  <c r="C391" i="1"/>
  <c r="C390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83" i="1"/>
  <c r="C382" i="1"/>
  <c r="C378" i="1"/>
  <c r="C377" i="1"/>
  <c r="C376" i="1"/>
  <c r="C375" i="1"/>
  <c r="C374" i="1"/>
  <c r="C373" i="1"/>
  <c r="C372" i="1"/>
  <c r="C379" i="1" s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C360" i="1"/>
  <c r="C359" i="1"/>
  <c r="C358" i="1"/>
  <c r="C357" i="1"/>
  <c r="C356" i="1"/>
  <c r="C355" i="1"/>
  <c r="C354" i="1"/>
  <c r="G368" i="1" l="1"/>
  <c r="F139" i="1"/>
  <c r="F68" i="1"/>
  <c r="D68" i="1" l="1"/>
  <c r="C68" i="1"/>
  <c r="F211" i="1" l="1"/>
  <c r="F210" i="1"/>
  <c r="H153" i="1" l="1"/>
  <c r="E199" i="1" l="1"/>
  <c r="D201" i="1"/>
  <c r="D200" i="1"/>
  <c r="D198" i="1"/>
  <c r="D197" i="1"/>
  <c r="C201" i="1"/>
  <c r="E201" i="1" s="1"/>
  <c r="C200" i="1"/>
  <c r="C198" i="1"/>
  <c r="B198" i="1"/>
  <c r="C197" i="1"/>
  <c r="B201" i="1"/>
  <c r="B200" i="1"/>
  <c r="B197" i="1"/>
  <c r="E198" i="1" l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D391" i="1"/>
  <c r="D392" i="1"/>
  <c r="D393" i="1"/>
  <c r="D394" i="1"/>
  <c r="D395" i="1"/>
  <c r="D396" i="1"/>
  <c r="D39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<sst xmlns="http://schemas.openxmlformats.org/spreadsheetml/2006/main" count="2514" uniqueCount="672">
  <si>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</si>
  <si>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</si>
  <si>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</si>
  <si>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</si>
  <si>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</si>
  <si>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</si>
  <si>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</si>
  <si>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</si>
  <si>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</si>
  <si>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</si>
  <si>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</si>
  <si>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</si>
  <si>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</si>
  <si>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</si>
  <si>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</si>
  <si>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</si>
  <si>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</si>
  <si>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</si>
  <si>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</si>
  <si>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</si>
  <si>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</si>
  <si>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</si>
  <si>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</si>
  <si>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</si>
  <si>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</si>
  <si>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</si>
  <si>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</si>
  <si>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</si>
  <si>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</si>
  <si>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</si>
  <si>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</si>
  <si>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</si>
  <si>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</si>
  <si>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</si>
  <si>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</si>
  <si>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</si>
  <si>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</si>
  <si>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</si>
  <si>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</si>
  <si>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</si>
  <si>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</si>
  <si>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</si>
  <si>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</si>
  <si>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</si>
  <si>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</si>
  <si>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</si>
  <si>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</si>
  <si>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</si>
  <si>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</si>
  <si>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</si>
  <si>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</si>
  <si>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</si>
  <si>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</si>
  <si>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</si>
  <si>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</si>
  <si>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</si>
  <si>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</si>
  <si>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</si>
  <si>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</si>
  <si>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</si>
  <si>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</si>
  <si>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</si>
  <si>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</si>
  <si>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</si>
  <si>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</si>
  <si>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</si>
  <si>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</si>
  <si>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</si>
  <si>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</si>
  <si>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</si>
  <si>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</si>
  <si>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</si>
  <si>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</si>
  <si>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</si>
  <si>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</si>
  <si>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</si>
  <si>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</si>
  <si>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</si>
  <si>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</si>
  <si>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</si>
  <si>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</si>
  <si>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</si>
  <si>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</si>
  <si>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</si>
  <si>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</si>
  <si>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</si>
  <si>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</si>
  <si>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</si>
  <si>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</si>
  <si>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</si>
  <si>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</si>
  <si>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</si>
  <si>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</si>
  <si>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</si>
  <si>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</si>
  <si>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</si>
  <si>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</si>
  <si>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</si>
  <si>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</si>
  <si>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</si>
  <si>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</si>
  <si>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</si>
  <si>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</si>
  <si>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</si>
  <si>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</si>
  <si>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</si>
  <si>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</si>
  <si>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</si>
  <si>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</si>
  <si>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</si>
  <si>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</si>
  <si>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</si>
  <si>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</si>
  <si>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</si>
  <si>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</si>
  <si>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</si>
  <si>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</si>
  <si>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</si>
  <si>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</si>
  <si>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</si>
  <si>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</si>
  <si>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</si>
  <si>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</si>
  <si>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</si>
  <si>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</si>
  <si>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</si>
  <si>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</si>
  <si>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</si>
  <si>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</si>
  <si>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</si>
  <si>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</si>
  <si>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</si>
  <si>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</si>
  <si>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</si>
  <si>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</si>
  <si>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</si>
  <si>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</si>
  <si>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</si>
  <si>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</si>
  <si>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</si>
  <si>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</si>
  <si>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</si>
  <si>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</si>
  <si>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</si>
  <si>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</si>
  <si>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</si>
  <si>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</si>
  <si>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</si>
  <si>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</si>
  <si>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</si>
  <si>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</si>
  <si>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</si>
  <si>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</si>
  <si>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</si>
  <si>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</si>
  <si>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</si>
  <si>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</si>
  <si>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</si>
  <si>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</si>
  <si>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</si>
  <si>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</si>
  <si>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</si>
  <si>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</si>
  <si>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</si>
  <si>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</si>
  <si>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</si>
  <si>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</si>
  <si>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</si>
  <si>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</si>
  <si>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</si>
  <si>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</si>
  <si>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</si>
  <si>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</si>
  <si>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</si>
  <si>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</si>
  <si>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</si>
  <si>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</si>
  <si>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</si>
  <si>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</si>
  <si>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</si>
  <si>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</si>
  <si>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</si>
  <si>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</si>
  <si>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</si>
  <si>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</si>
  <si>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</si>
  <si>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</si>
  <si>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</si>
  <si>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</si>
  <si>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</si>
  <si>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</si>
  <si>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</si>
  <si>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</si>
  <si>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</si>
  <si>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</si>
  <si>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</si>
  <si>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</si>
  <si>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</si>
  <si>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</si>
  <si>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</si>
  <si>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</si>
  <si>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</si>
  <si>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</si>
  <si>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</si>
  <si>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</si>
  <si>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</si>
  <si>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</si>
  <si>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</si>
  <si>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</si>
  <si>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</si>
  <si>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</si>
  <si>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</si>
  <si>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</si>
  <si>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</si>
  <si>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</si>
  <si>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</si>
  <si>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</si>
  <si>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</si>
  <si>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</si>
  <si>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</si>
  <si>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</si>
  <si>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</si>
  <si>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</si>
  <si>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</si>
  <si>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</si>
  <si>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</si>
  <si>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</si>
  <si>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</si>
  <si>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</si>
  <si>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</si>
  <si>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</si>
  <si>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</si>
  <si>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</si>
  <si>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</si>
  <si>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</si>
  <si>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</si>
  <si>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</si>
  <si>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</si>
  <si>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</si>
  <si>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</si>
  <si>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</si>
  <si>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</si>
  <si>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</si>
  <si>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</si>
  <si>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</si>
  <si>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</si>
  <si>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</si>
  <si>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</si>
  <si>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</si>
  <si>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</si>
  <si>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</si>
  <si>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</si>
  <si>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</si>
  <si>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</si>
  <si>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</si>
  <si>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</si>
  <si>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</si>
  <si>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</si>
  <si>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</si>
  <si>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</si>
  <si>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</si>
  <si>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</si>
  <si>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</si>
  <si>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</si>
  <si>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</si>
  <si>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</si>
  <si>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</si>
  <si>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</si>
  <si>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</si>
  <si>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</si>
  <si>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</si>
  <si>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</si>
  <si>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</si>
  <si>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</si>
  <si>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</si>
  <si>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</si>
  <si>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</si>
  <si>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</si>
  <si>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</si>
  <si>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</si>
  <si>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</si>
  <si>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</si>
  <si>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</si>
  <si>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</si>
  <si>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</si>
  <si>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</si>
  <si>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</si>
  <si>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</si>
  <si>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</si>
  <si>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</si>
  <si>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</si>
  <si>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</si>
  <si>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</si>
  <si>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</si>
  <si>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</si>
  <si>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</si>
  <si>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</si>
  <si>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</si>
  <si>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</si>
  <si>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</si>
  <si>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</si>
  <si>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</si>
  <si>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</si>
  <si>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</si>
  <si>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</si>
  <si>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</si>
  <si>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</si>
  <si>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</si>
  <si>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</si>
  <si>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</si>
  <si>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</si>
  <si>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</si>
  <si>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</si>
  <si>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</si>
  <si>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</si>
  <si>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</si>
  <si>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</si>
  <si>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</si>
  <si>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</si>
  <si>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</si>
  <si>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</si>
  <si>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</si>
  <si>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</si>
  <si>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</si>
  <si>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</si>
  <si>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</si>
  <si>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</si>
  <si>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</si>
  <si>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</si>
  <si>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</si>
  <si>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</si>
  <si>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</si>
  <si>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</si>
  <si>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</si>
  <si>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</si>
  <si>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</si>
  <si>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</si>
  <si>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</si>
  <si>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</si>
  <si>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</si>
  <si>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</si>
  <si>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</si>
  <si>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</si>
  <si>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</si>
  <si>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</si>
  <si>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</si>
  <si>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</si>
  <si>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</si>
  <si>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</si>
  <si>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</si>
  <si>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</si>
  <si>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</si>
  <si>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</si>
  <si>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</si>
  <si>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</si>
  <si>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</si>
  <si>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</si>
  <si>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</si>
  <si>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</si>
  <si>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</si>
  <si>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</si>
  <si>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</si>
  <si>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</si>
  <si>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</si>
  <si>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</si>
  <si>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</si>
  <si>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</si>
  <si>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</si>
  <si>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</si>
  <si>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</si>
  <si>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</si>
  <si>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</si>
  <si>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</si>
  <si>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</si>
  <si>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</si>
  <si>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</si>
  <si>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</si>
  <si>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</si>
  <si>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</si>
  <si>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</si>
  <si>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</si>
  <si>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</si>
  <si>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</si>
  <si>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</si>
  <si>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</si>
  <si>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</si>
  <si>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</si>
  <si>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</si>
  <si>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</si>
  <si>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</si>
  <si>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</si>
  <si>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</si>
  <si>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</si>
  <si>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</si>
  <si>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</si>
  <si>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</si>
  <si>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</si>
  <si>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</si>
  <si>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</si>
  <si>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</si>
  <si>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</si>
  <si>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</si>
  <si>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</si>
  <si>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</si>
  <si>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</si>
  <si>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</si>
  <si>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</si>
  <si>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</si>
  <si>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</si>
  <si>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</si>
  <si>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</si>
  <si>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</si>
  <si>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</si>
  <si>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</si>
  <si>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</si>
  <si>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</si>
  <si>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</si>
  <si>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</si>
  <si>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</si>
  <si>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</si>
  <si>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</si>
  <si>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</si>
  <si>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</si>
  <si>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</si>
  <si>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</si>
  <si>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</si>
  <si>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</si>
  <si>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</si>
  <si>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</si>
  <si>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</si>
  <si>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</si>
  <si>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</si>
  <si>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</si>
  <si>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</si>
  <si>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</si>
  <si>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</si>
  <si>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</si>
  <si>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</si>
  <si>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</si>
  <si>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</si>
  <si>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</si>
  <si>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</si>
  <si>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</si>
  <si>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</si>
  <si>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</si>
  <si>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</si>
  <si>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</si>
  <si>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</si>
  <si>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</si>
  <si>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</si>
  <si>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</si>
  <si>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</si>
  <si>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</si>
  <si>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</si>
  <si>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</si>
  <si>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</si>
  <si>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</si>
  <si>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</si>
  <si>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</si>
  <si>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</si>
  <si>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</si>
  <si>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</si>
  <si>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</si>
  <si>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</si>
  <si>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</si>
  <si>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</si>
  <si>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</si>
  <si>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</si>
  <si>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</si>
  <si>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</si>
  <si>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</si>
  <si>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</si>
  <si>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</si>
  <si>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</si>
  <si>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</si>
  <si>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</si>
  <si>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</si>
  <si>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</si>
  <si>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</si>
  <si>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</si>
  <si>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</si>
  <si>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</si>
  <si>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</si>
  <si>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</si>
  <si>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</si>
  <si>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</si>
  <si>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</si>
  <si>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</si>
  <si>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</si>
  <si>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</si>
  <si>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</si>
  <si>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</si>
  <si>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</si>
  <si>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</si>
  <si>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</si>
  <si>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</si>
  <si>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</si>
  <si>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</si>
  <si>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</si>
  <si>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</si>
  <si>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</si>
  <si>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</si>
  <si>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</si>
  <si>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</si>
  <si>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</si>
  <si>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</si>
  <si>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</si>
  <si>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</si>
  <si>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</si>
  <si>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</si>
  <si>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</si>
  <si>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</si>
  <si>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</si>
  <si>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</si>
  <si>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</si>
  <si>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</si>
  <si>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</si>
  <si>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</si>
  <si>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</si>
  <si>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</si>
  <si>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</si>
  <si>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</si>
  <si>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</si>
  <si>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</si>
  <si>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</si>
  <si>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</si>
  <si>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</si>
  <si>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</si>
  <si>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</si>
  <si>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</si>
  <si>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</si>
  <si>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</si>
  <si>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 xml:space="preserve">Note: The monthly "local liquidity"  using the value traded and Strate market capitalisation is 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</si>
  <si>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</si>
  <si>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</si>
  <si>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</si>
  <si>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</si>
  <si>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 xml:space="preserve">                        -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</si>
  <si>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</si>
  <si>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</si>
  <si>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</si>
  <si>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</si>
  <si>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</si>
  <si>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</si>
  <si>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</si>
  <si>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</si>
  <si>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</si>
  <si>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</si>
  <si>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</si>
  <si>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</si>
  <si>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</si>
  <si>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</si>
  <si>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</si>
  <si>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</si>
  <si>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</si>
  <si>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</si>
  <si>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</si>
  <si>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</si>
  <si>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</si>
  <si>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</si>
  <si>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</si>
  <si>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</si>
  <si>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</si>
  <si>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</si>
  <si>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</si>
  <si>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</si>
  <si>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</si>
  <si>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</si>
  <si>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</si>
  <si>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</si>
  <si>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</si>
  <si>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</si>
  <si>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</si>
  <si>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</si>
  <si>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</si>
  <si>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</si>
  <si>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</si>
  <si>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</si>
  <si>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</si>
  <si>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</si>
  <si>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</si>
  <si>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</si>
  <si>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</si>
  <si>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</si>
  <si>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</si>
  <si>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</si>
  <si>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</si>
  <si>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</si>
  <si>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</si>
  <si>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</si>
  <si>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</si>
  <si>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</si>
  <si>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</si>
  <si>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</si>
  <si>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</si>
  <si>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</si>
  <si>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</si>
  <si>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</si>
  <si>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</si>
  <si>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</si>
  <si>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</si>
  <si>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</si>
  <si>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</si>
  <si>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</si>
  <si>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</si>
  <si>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</si>
  <si>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</si>
  <si>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</si>
  <si>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</si>
  <si>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</si>
  <si>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</si>
  <si>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</si>
  <si>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</si>
  <si>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</si>
  <si>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BRENT CRUDE OIL COMMODITY CAN-DO</t>
  </si>
  <si>
    <t>EURONEXT MILLING WHEAT CONTRACT</t>
  </si>
  <si>
    <t>QUANTO GOLD COMMODITY CAN-DO</t>
  </si>
  <si>
    <t>QUANTO WHITE MAIZE</t>
  </si>
  <si>
    <t>QUANTO SOYBEAN MEAL COMMODITY CANDO</t>
  </si>
  <si>
    <t>QUANTO SOYBEAN OIL COMMODITY CAN-DO</t>
  </si>
  <si>
    <t>YELLOW MAIZE COMMODITY CANDO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</si>
  <si>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</si>
  <si>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</si>
  <si>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</si>
  <si>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</si>
  <si>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</si>
  <si>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</si>
  <si>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</si>
  <si>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</si>
  <si>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</si>
  <si>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</si>
  <si>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</si>
  <si>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</si>
  <si>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</si>
  <si>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</si>
  <si>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</si>
  <si>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</si>
  <si>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</si>
  <si>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</si>
  <si>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</si>
  <si>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</si>
  <si>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</si>
  <si>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</si>
  <si>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</si>
  <si>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</si>
  <si>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</si>
  <si>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</si>
  <si>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</si>
  <si>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</si>
  <si>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</si>
  <si>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</si>
  <si>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</si>
  <si>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</si>
  <si>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</si>
  <si>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</si>
  <si>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</si>
  <si>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</si>
  <si>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</si>
  <si>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</si>
  <si>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</si>
  <si>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</si>
  <si>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</si>
  <si>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2018/11</t>
  </si>
  <si>
    <t>Other Trade - I</t>
  </si>
  <si>
    <t>CorporateActionTypeCode</t>
  </si>
  <si>
    <t>SUM_TotalValue</t>
  </si>
  <si>
    <t>AS</t>
  </si>
  <si>
    <t>GI</t>
  </si>
  <si>
    <t>SI</t>
  </si>
  <si>
    <t>SO</t>
  </si>
  <si>
    <t>SS</t>
  </si>
  <si>
    <t>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</si>
</sst>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</numFmts>
  <fonts count="6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2147">
    <xf numFmtId="0" fontId="0" fillId="0" borderId="0"/>
    <xf numFmtId="165" fontId="1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" applyNumberFormat="0" applyFill="0" applyAlignment="0" applyProtection="0"/>
    <xf numFmtId="0" fontId="28" fillId="0" borderId="2" applyNumberFormat="0" applyFill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19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40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40" fillId="32" borderId="0" applyNumberFormat="0" applyBorder="0" applyAlignment="0" applyProtection="0"/>
    <xf numFmtId="9" fontId="19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05">
    <xf numFmtId="0" fontId="0" fillId="0" borderId="0" xfId="0"/>
    <xf numFmtId="0" fontId="20" fillId="0" borderId="0" xfId="0" applyFont="1"/>
    <xf numFmtId="165" fontId="0" fillId="0" borderId="0" xfId="1" applyFont="1"/>
    <xf numFmtId="166" fontId="0" fillId="0" borderId="0" xfId="1" applyNumberFormat="1" applyFont="1"/>
    <xf numFmtId="166" fontId="20" fillId="0" borderId="0" xfId="1" applyNumberFormat="1" applyFont="1"/>
    <xf numFmtId="165" fontId="20" fillId="0" borderId="0" xfId="1" applyFont="1"/>
    <xf numFmtId="14" fontId="0" fillId="0" borderId="0" xfId="0" applyNumberFormat="1" applyAlignment="1">
      <alignment horizontal="right"/>
    </xf>
    <xf numFmtId="14" fontId="20" fillId="0" borderId="0" xfId="0" applyNumberFormat="1" applyFont="1" applyAlignment="1">
      <alignment horizontal="right"/>
    </xf>
    <xf numFmtId="0" fontId="22" fillId="0" borderId="0" xfId="0" applyFont="1" applyFill="1"/>
    <xf numFmtId="0" fontId="24" fillId="0" borderId="0" xfId="0" applyFont="1" applyFill="1"/>
    <xf numFmtId="0" fontId="0" fillId="0" borderId="0" xfId="0" applyFont="1"/>
    <xf numFmtId="17" fontId="20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3" fillId="0" borderId="0" xfId="0" applyNumberFormat="1" applyFont="1"/>
    <xf numFmtId="0" fontId="21" fillId="0" borderId="0" xfId="0" applyFont="1"/>
    <xf numFmtId="166" fontId="0" fillId="0" borderId="0" xfId="0" applyNumberFormat="1" applyFont="1"/>
    <xf numFmtId="3" fontId="20" fillId="0" borderId="0" xfId="0" applyNumberFormat="1" applyFont="1"/>
    <xf numFmtId="0" fontId="20" fillId="0" borderId="0" xfId="0" applyFont="1"/>
    <xf numFmtId="0" fontId="41" fillId="0" borderId="0" xfId="0" applyFont="1"/>
    <xf numFmtId="3" fontId="0" fillId="0" borderId="0" xfId="0" applyNumberFormat="1" applyFont="1"/>
    <xf numFmtId="165" fontId="0" fillId="0" borderId="0" xfId="0" applyNumberFormat="1"/>
    <xf numFmtId="0" fontId="25" fillId="0" borderId="0" xfId="0" applyFont="1"/>
    <xf numFmtId="168" fontId="17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0" fontId="20" fillId="0" borderId="0" xfId="0" applyFont="1"/>
    <xf numFmtId="166" fontId="0" fillId="0" borderId="0" xfId="0" applyNumberFormat="1" applyFont="1"/>
    <xf numFmtId="0" fontId="0" fillId="0" borderId="0" xfId="0" applyFont="1"/>
    <xf numFmtId="166" fontId="16" fillId="0" borderId="0" xfId="0" applyNumberFormat="1" applyFont="1" applyFill="1"/>
    <xf numFmtId="3" fontId="17" fillId="0" borderId="0" xfId="0" applyNumberFormat="1" applyFont="1"/>
    <xf numFmtId="166" fontId="21" fillId="0" borderId="0" xfId="0" applyNumberFormat="1" applyFont="1" applyFill="1"/>
    <xf numFmtId="166" fontId="0" fillId="0" borderId="0" xfId="0" applyNumberFormat="1" applyFont="1" applyFill="1"/>
    <xf numFmtId="166" fontId="20" fillId="0" borderId="0" xfId="0" applyNumberFormat="1" applyFont="1"/>
    <xf numFmtId="0" fontId="20" fillId="0" borderId="0" xfId="0" applyFont="1"/>
    <xf numFmtId="0" fontId="23" fillId="0" borderId="0" xfId="0" applyFont="1"/>
    <xf numFmtId="166" fontId="17" fillId="0" borderId="0" xfId="0" applyNumberFormat="1" applyFont="1"/>
    <xf numFmtId="167" fontId="0" fillId="0" borderId="0" xfId="0" applyNumberFormat="1" applyFont="1"/>
    <xf numFmtId="167" fontId="20" fillId="0" borderId="0" xfId="0" applyNumberFormat="1" applyFont="1"/>
    <xf numFmtId="0" fontId="20" fillId="0" borderId="0" xfId="0" applyFont="1" applyAlignment="1">
      <alignment horizontal="right"/>
    </xf>
    <xf numFmtId="166" fontId="25" fillId="0" borderId="0" xfId="0" applyNumberFormat="1" applyFont="1"/>
    <xf numFmtId="0" fontId="0" fillId="0" borderId="0" xfId="0"/>
    <xf numFmtId="0" fontId="25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3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6" fillId="0" borderId="0" xfId="0" applyNumberFormat="1" applyFont="1"/>
    <xf numFmtId="166" fontId="21" fillId="0" borderId="0" xfId="0" applyNumberFormat="1" applyFont="1"/>
    <xf numFmtId="167" fontId="21" fillId="0" borderId="0" xfId="0" applyNumberFormat="1" applyFont="1"/>
    <xf numFmtId="0" fontId="45" fillId="0" borderId="0" xfId="0" applyFont="1"/>
    <xf numFmtId="167" fontId="0" fillId="0" borderId="0" xfId="0" applyNumberFormat="1" applyFont="1" applyAlignment="1">
      <alignment horizontal="right"/>
    </xf>
    <xf numFmtId="166" fontId="45" fillId="0" borderId="0" xfId="0" applyNumberFormat="1" applyFont="1"/>
    <xf numFmtId="166" fontId="44" fillId="0" borderId="0" xfId="0" applyNumberFormat="1" applyFont="1"/>
    <xf numFmtId="0" fontId="20" fillId="0" borderId="0" xfId="0" applyFont="1"/>
    <xf numFmtId="167" fontId="0" fillId="0" borderId="0" xfId="1" applyNumberFormat="1" applyFont="1"/>
    <xf numFmtId="0" fontId="20" fillId="0" borderId="0" xfId="0" applyFont="1"/>
    <xf numFmtId="0" fontId="22" fillId="0" borderId="0" xfId="0" applyFont="1"/>
    <xf numFmtId="0" fontId="20" fillId="0" borderId="0" xfId="0" applyFont="1"/>
    <xf numFmtId="0" fontId="20" fillId="0" borderId="0" xfId="0" applyFont="1"/>
    <xf numFmtId="166" fontId="0" fillId="0" borderId="0" xfId="0" applyNumberFormat="1" applyFont="1"/>
    <xf numFmtId="166" fontId="16" fillId="0" borderId="0" xfId="1" applyNumberFormat="1" applyFont="1"/>
    <xf numFmtId="0" fontId="20" fillId="0" borderId="0" xfId="0" applyFont="1"/>
    <xf numFmtId="0" fontId="20" fillId="0" borderId="0" xfId="0" applyFont="1"/>
    <xf numFmtId="166" fontId="23" fillId="0" borderId="0" xfId="0" quotePrefix="1" applyNumberFormat="1" applyFont="1" applyAlignment="1">
      <alignment horizontal="right"/>
    </xf>
    <xf numFmtId="166" fontId="15" fillId="0" borderId="0" xfId="0" applyNumberFormat="1" applyFont="1"/>
    <xf numFmtId="166" fontId="19" fillId="0" borderId="0" xfId="0" applyNumberFormat="1" applyFont="1"/>
    <xf numFmtId="0" fontId="44" fillId="0" borderId="0" xfId="0" applyFont="1"/>
    <xf numFmtId="166" fontId="15" fillId="0" borderId="0" xfId="0" applyNumberFormat="1" applyFont="1"/>
    <xf numFmtId="0" fontId="15" fillId="0" borderId="0" xfId="0" applyFont="1"/>
    <xf numFmtId="166" fontId="14" fillId="0" borderId="0" xfId="0" applyNumberFormat="1" applyFont="1"/>
    <xf numFmtId="166" fontId="0" fillId="0" borderId="0" xfId="0" applyNumberFormat="1"/>
    <xf numFmtId="0" fontId="20" fillId="0" borderId="0" xfId="0" applyFont="1"/>
    <xf numFmtId="166" fontId="13" fillId="0" borderId="0" xfId="0" applyNumberFormat="1" applyFont="1"/>
    <xf numFmtId="166" fontId="12" fillId="0" borderId="0" xfId="0" applyNumberFormat="1" applyFont="1"/>
    <xf numFmtId="166" fontId="12" fillId="0" borderId="0" xfId="1" applyNumberFormat="1" applyFont="1"/>
    <xf numFmtId="166" fontId="12" fillId="0" borderId="0" xfId="0" applyNumberFormat="1" applyFont="1"/>
    <xf numFmtId="166" fontId="12" fillId="0" borderId="0" xfId="0" applyNumberFormat="1" applyFont="1"/>
    <xf numFmtId="166" fontId="12" fillId="0" borderId="0" xfId="0" applyNumberFormat="1" applyFont="1"/>
    <xf numFmtId="169" fontId="42" fillId="0" borderId="0" xfId="0" applyNumberFormat="1" applyFont="1" applyFill="1" applyBorder="1" applyAlignment="1">
      <alignment horizontal="right"/>
    </xf>
    <xf numFmtId="169" fontId="42" fillId="0" borderId="0" xfId="0" applyNumberFormat="1" applyFont="1" applyFill="1" applyBorder="1" applyAlignment="1">
      <alignment wrapText="1"/>
    </xf>
    <xf numFmtId="0" fontId="21" fillId="0" borderId="0" xfId="0" quotePrefix="1" applyFont="1"/>
    <xf numFmtId="0" fontId="20" fillId="0" borderId="0" xfId="0" applyFont="1"/>
    <xf numFmtId="0" fontId="20" fillId="0" borderId="0" xfId="0" applyFont="1" applyAlignment="1">
      <alignment horizontal="left"/>
    </xf>
    <xf numFmtId="165" fontId="20" fillId="0" borderId="0" xfId="1" applyFont="1" applyAlignment="1">
      <alignment horizontal="left"/>
    </xf>
    <xf numFmtId="14" fontId="20" fillId="0" borderId="0" xfId="0" applyNumberFormat="1" applyFont="1" applyAlignment="1">
      <alignment horizontal="left"/>
    </xf>
    <xf numFmtId="166" fontId="14" fillId="0" borderId="0" xfId="1" applyNumberFormat="1" applyFont="1"/>
    <xf numFmtId="0" fontId="47" fillId="0" borderId="0" xfId="0" applyFont="1"/>
    <xf numFmtId="171" fontId="0" fillId="0" borderId="0" xfId="0" applyNumberFormat="1"/>
    <xf numFmtId="0" fontId="42" fillId="0" borderId="0" xfId="0" applyFont="1"/>
    <xf numFmtId="3" fontId="42" fillId="0" borderId="0" xfId="0" applyNumberFormat="1" applyFont="1"/>
    <xf numFmtId="171" fontId="42" fillId="0" borderId="0" xfId="0" applyNumberFormat="1" applyFont="1"/>
    <xf numFmtId="166" fontId="42" fillId="0" borderId="0" xfId="1" applyNumberFormat="1" applyFont="1"/>
    <xf numFmtId="166" fontId="42" fillId="0" borderId="0" xfId="0" applyNumberFormat="1" applyFont="1"/>
    <xf numFmtId="170" fontId="0" fillId="0" borderId="0" xfId="1" applyNumberFormat="1" applyFont="1"/>
    <xf numFmtId="170" fontId="42" fillId="0" borderId="0" xfId="0" applyNumberFormat="1" applyFont="1"/>
    <xf numFmtId="170" fontId="0" fillId="0" borderId="0" xfId="0" applyNumberFormat="1"/>
    <xf numFmtId="0" fontId="0" fillId="0" borderId="0" xfId="0" applyBorder="1"/>
    <xf numFmtId="0" fontId="42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2" fillId="0" borderId="0" xfId="0" applyFont="1" applyFill="1" applyBorder="1" applyAlignment="1">
      <alignment horizontal="right" wrapText="1"/>
    </xf>
    <xf numFmtId="169" fontId="42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0" fillId="0" borderId="0" xfId="0" applyNumberFormat="1" applyFont="1"/>
    <xf numFmtId="0" fontId="20" fillId="0" borderId="0" xfId="0" applyFont="1"/>
    <xf numFmtId="0" fontId="0" fillId="0" borderId="11" xfId="0" applyFont="1" applyBorder="1"/>
    <xf numFmtId="0" fontId="20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0" fillId="0" borderId="11" xfId="0" applyNumberFormat="1" applyFont="1" applyBorder="1"/>
    <xf numFmtId="166" fontId="0" fillId="0" borderId="11" xfId="1" applyNumberFormat="1" applyFont="1" applyBorder="1"/>
    <xf numFmtId="0" fontId="20" fillId="0" borderId="12" xfId="0" applyFont="1" applyBorder="1" applyAlignment="1">
      <alignment horizontal="right"/>
    </xf>
    <xf numFmtId="0" fontId="0" fillId="0" borderId="12" xfId="0" applyFont="1" applyBorder="1"/>
    <xf numFmtId="0" fontId="20" fillId="0" borderId="12" xfId="0" applyFont="1" applyBorder="1"/>
    <xf numFmtId="166" fontId="0" fillId="0" borderId="12" xfId="0" applyNumberFormat="1" applyFont="1" applyBorder="1"/>
    <xf numFmtId="0" fontId="21" fillId="0" borderId="12" xfId="0" applyFont="1" applyFill="1" applyBorder="1"/>
    <xf numFmtId="0" fontId="46" fillId="0" borderId="12" xfId="0" applyFont="1" applyFill="1" applyBorder="1"/>
    <xf numFmtId="0" fontId="23" fillId="0" borderId="12" xfId="0" applyFont="1" applyBorder="1"/>
    <xf numFmtId="0" fontId="17" fillId="0" borderId="12" xfId="0" applyFont="1" applyBorder="1"/>
    <xf numFmtId="0" fontId="17" fillId="0" borderId="12" xfId="0" applyFont="1" applyFill="1" applyBorder="1"/>
    <xf numFmtId="0" fontId="17" fillId="0" borderId="0" xfId="0" applyFont="1"/>
    <xf numFmtId="0" fontId="49" fillId="0" borderId="0" xfId="0" applyFont="1" applyAlignment="1">
      <alignment vertical="center"/>
    </xf>
    <xf numFmtId="14" fontId="0" fillId="0" borderId="0" xfId="0" applyNumberFormat="1" applyFont="1"/>
    <xf numFmtId="166" fontId="25" fillId="0" borderId="0" xfId="1" applyNumberFormat="1" applyFont="1"/>
    <xf numFmtId="166" fontId="25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5" fillId="0" borderId="0" xfId="0" applyNumberFormat="1" applyFont="1"/>
    <xf numFmtId="0" fontId="25" fillId="0" borderId="0" xfId="0" applyFont="1"/>
    <xf numFmtId="3" fontId="0" fillId="0" borderId="12" xfId="0" applyNumberFormat="1" applyFont="1" applyBorder="1"/>
    <xf numFmtId="166" fontId="48" fillId="0" borderId="0" xfId="0" applyNumberFormat="1" applyFont="1"/>
    <xf numFmtId="0" fontId="0" fillId="0" borderId="0" xfId="0" applyFont="1"/>
    <xf numFmtId="0" fontId="20" fillId="33" borderId="0" xfId="0" applyFont="1" applyFill="1"/>
    <xf numFmtId="0" fontId="0" fillId="33" borderId="0" xfId="0" applyFont="1" applyFill="1"/>
    <xf numFmtId="0" fontId="51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0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0" fillId="0" borderId="0" xfId="0" applyFont="1"/>
    <xf numFmtId="0" fontId="20" fillId="35" borderId="0" xfId="0" applyFont="1" applyFill="1"/>
    <xf numFmtId="0" fontId="20" fillId="0" borderId="0" xfId="0" quotePrefix="1" applyFont="1"/>
    <xf numFmtId="16" fontId="21" fillId="0" borderId="0" xfId="0" quotePrefix="1" applyNumberFormat="1" applyFont="1"/>
    <xf numFmtId="16" fontId="20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2" fillId="35" borderId="0" xfId="44" applyFont="1" applyFill="1" applyAlignment="1"/>
    <xf numFmtId="14" fontId="0" fillId="0" borderId="0" xfId="0" applyNumberFormat="1"/>
    <xf numFmtId="0" fontId="0" fillId="0" borderId="0" xfId="0"/>
    <xf numFmtId="0" fontId="20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0" fillId="0" borderId="0" xfId="0" applyNumberFormat="1" applyFont="1"/>
    <xf numFmtId="0" fontId="0" fillId="0" borderId="0" xfId="0" applyFont="1" applyFill="1"/>
    <xf numFmtId="0" fontId="20" fillId="35" borderId="0" xfId="0" applyFont="1" applyFill="1"/>
    <xf numFmtId="0" fontId="52" fillId="35" borderId="0" xfId="0" applyFont="1" applyFill="1"/>
    <xf numFmtId="0" fontId="10" fillId="0" borderId="0" xfId="47" applyFill="1"/>
    <xf numFmtId="0" fontId="52" fillId="0" borderId="0" xfId="47" applyFont="1" applyFill="1" applyAlignment="1"/>
    <xf numFmtId="10" fontId="20" fillId="0" borderId="0" xfId="43" applyNumberFormat="1" applyFont="1"/>
    <xf numFmtId="10" fontId="20" fillId="33" borderId="0" xfId="43" applyNumberFormat="1" applyFont="1" applyFill="1"/>
    <xf numFmtId="166" fontId="20" fillId="33" borderId="0" xfId="1" applyNumberFormat="1" applyFont="1" applyFill="1"/>
    <xf numFmtId="10" fontId="0" fillId="33" borderId="0" xfId="43" applyNumberFormat="1" applyFont="1" applyFill="1"/>
    <xf numFmtId="0" fontId="48" fillId="0" borderId="0" xfId="0" applyNumberFormat="1" applyFont="1"/>
    <xf numFmtId="0" fontId="0" fillId="0" borderId="0" xfId="1" applyNumberFormat="1" applyFont="1"/>
    <xf numFmtId="0" fontId="20" fillId="0" borderId="0" xfId="0" applyNumberFormat="1" applyFont="1"/>
    <xf numFmtId="0" fontId="20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7" fillId="0" borderId="0" xfId="0" applyNumberFormat="1" applyFont="1"/>
    <xf numFmtId="0" fontId="25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0" fillId="34" borderId="12" xfId="0" applyFont="1" applyFill="1" applyBorder="1" applyAlignment="1">
      <alignment horizontal="right" wrapText="1"/>
    </xf>
    <xf numFmtId="165" fontId="48" fillId="34" borderId="0" xfId="1" applyFont="1" applyFill="1"/>
    <xf numFmtId="165" fontId="25" fillId="0" borderId="11" xfId="1" applyFont="1" applyBorder="1"/>
    <xf numFmtId="0" fontId="25" fillId="0" borderId="0" xfId="0" applyFont="1" applyBorder="1"/>
    <xf numFmtId="165" fontId="25" fillId="0" borderId="0" xfId="1" applyFont="1"/>
    <xf numFmtId="165" fontId="25" fillId="0" borderId="0" xfId="1" applyFont="1" applyFill="1"/>
    <xf numFmtId="10" fontId="54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4" fillId="0" borderId="0" xfId="334" applyFill="1"/>
    <xf numFmtId="0" fontId="52" fillId="0" borderId="0" xfId="334" applyFont="1" applyFill="1" applyAlignment="1"/>
    <xf numFmtId="14" fontId="52" fillId="0" borderId="0" xfId="334" applyNumberFormat="1" applyFont="1" applyFill="1" applyAlignment="1"/>
    <xf numFmtId="14" fontId="4" fillId="0" borderId="0" xfId="334" applyNumberFormat="1" applyFill="1"/>
    <xf numFmtId="11" fontId="0" fillId="0" borderId="0" xfId="0" applyNumberFormat="1" applyFont="1"/>
    <xf numFmtId="166" fontId="25" fillId="0" borderId="0" xfId="1" applyNumberFormat="1" applyFont="1" applyFill="1"/>
    <xf numFmtId="0" fontId="48" fillId="34" borderId="14" xfId="0" applyFont="1" applyFill="1" applyBorder="1"/>
    <xf numFmtId="165" fontId="48" fillId="34" borderId="12" xfId="1" applyFont="1" applyFill="1" applyBorder="1" applyAlignment="1">
      <alignment horizontal="left"/>
    </xf>
    <xf numFmtId="17" fontId="25" fillId="0" borderId="0" xfId="0" applyNumberFormat="1" applyFont="1" applyFill="1" applyAlignment="1">
      <alignment horizontal="right"/>
    </xf>
    <xf numFmtId="165" fontId="25" fillId="0" borderId="0" xfId="0" applyNumberFormat="1" applyFont="1" applyFill="1" applyAlignment="1">
      <alignment horizontal="right"/>
    </xf>
    <xf numFmtId="10" fontId="54" fillId="0" borderId="0" xfId="43" applyNumberFormat="1" applyFont="1" applyBorder="1"/>
    <xf numFmtId="166" fontId="48" fillId="0" borderId="0" xfId="1" applyNumberFormat="1" applyFont="1"/>
    <xf numFmtId="0" fontId="48" fillId="34" borderId="0" xfId="0" applyFont="1" applyFill="1" applyAlignment="1"/>
    <xf numFmtId="165" fontId="25" fillId="0" borderId="0" xfId="1" applyNumberFormat="1" applyFont="1"/>
    <xf numFmtId="10" fontId="25" fillId="0" borderId="0" xfId="43" applyNumberFormat="1" applyFont="1" applyBorder="1"/>
    <xf numFmtId="0" fontId="25" fillId="0" borderId="0" xfId="0" applyFont="1" applyFill="1" applyAlignment="1">
      <alignment horizontal="right"/>
    </xf>
    <xf numFmtId="166" fontId="25" fillId="0" borderId="0" xfId="0" applyNumberFormat="1" applyFont="1" applyFill="1" applyAlignment="1">
      <alignment horizontal="right"/>
    </xf>
    <xf numFmtId="166" fontId="25" fillId="0" borderId="0" xfId="1" applyNumberFormat="1" applyFont="1" applyBorder="1"/>
    <xf numFmtId="165" fontId="48" fillId="34" borderId="0" xfId="1" applyFont="1" applyFill="1" applyBorder="1"/>
    <xf numFmtId="0" fontId="0" fillId="0" borderId="0" xfId="0"/>
    <xf numFmtId="0" fontId="20" fillId="0" borderId="0" xfId="0" applyFont="1"/>
    <xf numFmtId="0" fontId="0" fillId="0" borderId="0" xfId="0" applyFont="1"/>
    <xf numFmtId="0" fontId="21" fillId="0" borderId="0" xfId="0" applyFont="1"/>
    <xf numFmtId="0" fontId="16" fillId="0" borderId="0" xfId="0" applyFont="1"/>
    <xf numFmtId="166" fontId="0" fillId="0" borderId="0" xfId="0" applyNumberFormat="1" applyFont="1"/>
    <xf numFmtId="0" fontId="20" fillId="0" borderId="0" xfId="0" applyFont="1" applyAlignment="1">
      <alignment horizontal="right"/>
    </xf>
    <xf numFmtId="0" fontId="20" fillId="0" borderId="0" xfId="0" quotePrefix="1" applyFont="1" applyAlignment="1">
      <alignment horizontal="right"/>
    </xf>
    <xf numFmtId="166" fontId="17" fillId="0" borderId="0" xfId="0" applyNumberFormat="1" applyFont="1"/>
    <xf numFmtId="166" fontId="0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2" fontId="16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4" fillId="0" borderId="0" xfId="586" applyFill="1"/>
    <xf numFmtId="0" fontId="52" fillId="0" borderId="0" xfId="586" applyFont="1" applyFill="1" applyAlignment="1"/>
    <xf numFmtId="11" fontId="0" fillId="0" borderId="0" xfId="0" applyNumberFormat="1" applyFont="1"/>
    <xf numFmtId="0" fontId="20" fillId="0" borderId="0" xfId="0" applyFont="1" applyAlignment="1"/>
    <xf numFmtId="0" fontId="52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19" fillId="0" borderId="0" xfId="0" applyNumberFormat="1" applyFont="1"/>
    <xf numFmtId="166" fontId="20" fillId="0" borderId="0" xfId="0" applyNumberFormat="1" applyFont="1"/>
    <xf numFmtId="166" fontId="12" fillId="0" borderId="0" xfId="0" applyNumberFormat="1" applyFont="1"/>
    <xf numFmtId="0" fontId="4" fillId="0" borderId="0" xfId="586" applyFill="1"/>
    <xf numFmtId="0" fontId="52" fillId="0" borderId="0" xfId="586" applyFont="1" applyFill="1" applyAlignment="1"/>
    <xf numFmtId="165" fontId="12" fillId="0" borderId="0" xfId="46" applyFont="1"/>
    <xf numFmtId="165" fontId="52" fillId="0" borderId="0" xfId="46" applyFont="1" applyFill="1" applyAlignment="1"/>
    <xf numFmtId="165" fontId="4" fillId="0" borderId="0" xfId="46" applyFont="1" applyFill="1"/>
    <xf numFmtId="0" fontId="0" fillId="0" borderId="0" xfId="0"/>
    <xf numFmtId="0" fontId="0" fillId="35" borderId="0" xfId="0" applyFont="1" applyFill="1"/>
    <xf numFmtId="0" fontId="4" fillId="0" borderId="0" xfId="586" applyFill="1"/>
    <xf numFmtId="0" fontId="52" fillId="0" borderId="0" xfId="586" applyFont="1" applyFill="1" applyAlignment="1"/>
    <xf numFmtId="0" fontId="52" fillId="35" borderId="0" xfId="586" applyFont="1" applyFill="1" applyAlignment="1"/>
    <xf numFmtId="11" fontId="4" fillId="0" borderId="0" xfId="586" applyNumberFormat="1" applyFill="1"/>
    <xf numFmtId="0" fontId="0" fillId="0" borderId="0" xfId="0"/>
    <xf numFmtId="0" fontId="20" fillId="0" borderId="0" xfId="0" applyFont="1"/>
    <xf numFmtId="0" fontId="0" fillId="0" borderId="0" xfId="0" applyFont="1"/>
    <xf numFmtId="0" fontId="25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0" fontId="4" fillId="0" borderId="0" xfId="0" applyFont="1"/>
    <xf numFmtId="0" fontId="52" fillId="35" borderId="0" xfId="586" applyFont="1" applyFill="1" applyAlignment="1"/>
    <xf numFmtId="0" fontId="4" fillId="0" borderId="0" xfId="586" applyFill="1"/>
    <xf numFmtId="0" fontId="52" fillId="0" borderId="0" xfId="586" applyFont="1" applyFill="1" applyAlignment="1"/>
    <xf numFmtId="0" fontId="0" fillId="0" borderId="0" xfId="0" applyFont="1" applyFill="1"/>
    <xf numFmtId="0" fontId="52" fillId="35" borderId="0" xfId="0" applyFont="1" applyFill="1"/>
    <xf numFmtId="166" fontId="52" fillId="0" borderId="0" xfId="335" applyNumberFormat="1" applyFont="1" applyFill="1" applyAlignment="1"/>
    <xf numFmtId="166" fontId="4" fillId="0" borderId="0" xfId="335" applyNumberFormat="1" applyFont="1" applyFill="1"/>
    <xf numFmtId="0" fontId="53" fillId="35" borderId="0" xfId="0" applyFont="1" applyFill="1"/>
    <xf numFmtId="0" fontId="53" fillId="35" borderId="0" xfId="586" applyFont="1" applyFill="1" applyAlignment="1"/>
    <xf numFmtId="0" fontId="52" fillId="35" borderId="0" xfId="587" applyFont="1" applyFill="1" applyAlignment="1"/>
    <xf numFmtId="0" fontId="0" fillId="0" borderId="0" xfId="0" applyNumberFormat="1" applyFont="1"/>
    <xf numFmtId="0" fontId="4" fillId="0" borderId="0" xfId="587" applyFill="1"/>
    <xf numFmtId="0" fontId="52" fillId="0" borderId="0" xfId="587" applyFont="1" applyFill="1" applyAlignment="1"/>
    <xf numFmtId="0" fontId="4" fillId="0" borderId="0" xfId="581" applyFill="1"/>
    <xf numFmtId="0" fontId="52" fillId="0" borderId="0" xfId="581" applyFont="1" applyFill="1" applyAlignment="1"/>
    <xf numFmtId="0" fontId="52" fillId="35" borderId="0" xfId="581" applyFont="1" applyFill="1" applyAlignment="1"/>
    <xf numFmtId="166" fontId="52" fillId="0" borderId="0" xfId="573" applyNumberFormat="1" applyFont="1" applyFill="1" applyAlignment="1"/>
    <xf numFmtId="166" fontId="4" fillId="0" borderId="0" xfId="573" applyNumberFormat="1" applyFont="1" applyFill="1"/>
    <xf numFmtId="166" fontId="52" fillId="0" borderId="0" xfId="46" applyNumberFormat="1" applyFont="1" applyFill="1" applyAlignment="1"/>
    <xf numFmtId="166" fontId="4" fillId="0" borderId="0" xfId="46" applyNumberFormat="1" applyFont="1" applyFill="1"/>
    <xf numFmtId="165" fontId="4" fillId="0" borderId="0" xfId="573" applyNumberFormat="1" applyFont="1" applyFill="1"/>
    <xf numFmtId="165" fontId="52" fillId="0" borderId="0" xfId="573" applyFont="1" applyFill="1" applyAlignment="1"/>
    <xf numFmtId="165" fontId="4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5" fillId="0" borderId="12" xfId="0" applyFont="1" applyBorder="1"/>
    <xf numFmtId="0" fontId="48" fillId="0" borderId="12" xfId="0" applyFont="1" applyBorder="1"/>
    <xf numFmtId="0" fontId="48" fillId="34" borderId="0" xfId="0" applyFont="1" applyFill="1" applyAlignment="1">
      <alignment horizontal="right"/>
    </xf>
    <xf numFmtId="0" fontId="48" fillId="34" borderId="0" xfId="0" applyFont="1" applyFill="1"/>
    <xf numFmtId="0" fontId="48" fillId="34" borderId="12" xfId="0" quotePrefix="1" applyFont="1" applyFill="1" applyBorder="1" applyAlignment="1">
      <alignment horizontal="right"/>
    </xf>
    <xf numFmtId="0" fontId="48" fillId="34" borderId="12" xfId="0" quotePrefix="1" applyNumberFormat="1" applyFont="1" applyFill="1" applyBorder="1" applyAlignment="1">
      <alignment horizontal="right"/>
    </xf>
    <xf numFmtId="0" fontId="48" fillId="34" borderId="12" xfId="0" applyFont="1" applyFill="1" applyBorder="1" applyAlignment="1">
      <alignment horizontal="right"/>
    </xf>
    <xf numFmtId="0" fontId="48" fillId="34" borderId="12" xfId="0" applyNumberFormat="1" applyFont="1" applyFill="1" applyBorder="1" applyAlignment="1">
      <alignment horizontal="right"/>
    </xf>
    <xf numFmtId="10" fontId="25" fillId="0" borderId="0" xfId="43" applyNumberFormat="1" applyFont="1"/>
    <xf numFmtId="166" fontId="25" fillId="0" borderId="0" xfId="0" applyNumberFormat="1" applyFont="1" applyFill="1"/>
    <xf numFmtId="0" fontId="48" fillId="0" borderId="0" xfId="0" applyFont="1"/>
    <xf numFmtId="0" fontId="25" fillId="0" borderId="11" xfId="0" applyFont="1" applyBorder="1"/>
    <xf numFmtId="166" fontId="25" fillId="0" borderId="11" xfId="0" applyNumberFormat="1" applyFont="1" applyBorder="1"/>
    <xf numFmtId="10" fontId="25" fillId="0" borderId="11" xfId="43" applyNumberFormat="1" applyFont="1" applyBorder="1"/>
    <xf numFmtId="166" fontId="25" fillId="0" borderId="11" xfId="0" applyNumberFormat="1" applyFont="1" applyFill="1" applyBorder="1"/>
    <xf numFmtId="166" fontId="25" fillId="34" borderId="0" xfId="0" applyNumberFormat="1" applyFont="1" applyFill="1"/>
    <xf numFmtId="0" fontId="48" fillId="34" borderId="0" xfId="0" applyFont="1" applyFill="1" applyBorder="1" applyAlignment="1">
      <alignment horizontal="center" vertical="center"/>
    </xf>
    <xf numFmtId="0" fontId="48" fillId="34" borderId="12" xfId="0" applyFont="1" applyFill="1" applyBorder="1"/>
    <xf numFmtId="166" fontId="25" fillId="0" borderId="0" xfId="0" applyNumberFormat="1" applyFont="1" applyAlignment="1">
      <alignment horizontal="right"/>
    </xf>
    <xf numFmtId="0" fontId="48" fillId="0" borderId="11" xfId="0" applyFont="1" applyBorder="1"/>
    <xf numFmtId="166" fontId="48" fillId="0" borderId="11" xfId="0" applyNumberFormat="1" applyFont="1" applyBorder="1"/>
    <xf numFmtId="166" fontId="48" fillId="0" borderId="11" xfId="0" applyNumberFormat="1" applyFont="1" applyFill="1" applyBorder="1"/>
    <xf numFmtId="0" fontId="55" fillId="34" borderId="0" xfId="0" applyFont="1" applyFill="1"/>
    <xf numFmtId="0" fontId="55" fillId="34" borderId="0" xfId="0" applyFont="1" applyFill="1" applyAlignment="1">
      <alignment horizontal="right"/>
    </xf>
    <xf numFmtId="0" fontId="55" fillId="34" borderId="12" xfId="0" applyFont="1" applyFill="1" applyBorder="1"/>
    <xf numFmtId="0" fontId="55" fillId="0" borderId="0" xfId="0" applyFont="1" applyFill="1"/>
    <xf numFmtId="0" fontId="56" fillId="0" borderId="0" xfId="0" applyFont="1" applyFill="1"/>
    <xf numFmtId="0" fontId="25" fillId="0" borderId="0" xfId="0" applyFont="1" applyFill="1"/>
    <xf numFmtId="166" fontId="57" fillId="0" borderId="0" xfId="0" applyNumberFormat="1" applyFont="1" applyFill="1"/>
    <xf numFmtId="166" fontId="55" fillId="0" borderId="0" xfId="0" applyNumberFormat="1" applyFont="1" applyFill="1"/>
    <xf numFmtId="0" fontId="48" fillId="0" borderId="0" xfId="0" applyFont="1" applyFill="1"/>
    <xf numFmtId="0" fontId="25" fillId="0" borderId="11" xfId="0" applyFont="1" applyFill="1" applyBorder="1"/>
    <xf numFmtId="0" fontId="25" fillId="34" borderId="0" xfId="0" applyFont="1" applyFill="1"/>
    <xf numFmtId="0" fontId="55" fillId="0" borderId="11" xfId="0" applyFont="1" applyFill="1" applyBorder="1"/>
    <xf numFmtId="0" fontId="48" fillId="0" borderId="0" xfId="0" applyFont="1" applyAlignment="1">
      <alignment horizontal="right"/>
    </xf>
    <xf numFmtId="166" fontId="25" fillId="0" borderId="0" xfId="0" applyNumberFormat="1" applyFont="1" applyFill="1" applyAlignment="1"/>
    <xf numFmtId="0" fontId="58" fillId="0" borderId="0" xfId="0" applyFont="1"/>
    <xf numFmtId="166" fontId="59" fillId="0" borderId="0" xfId="0" applyNumberFormat="1" applyFont="1"/>
    <xf numFmtId="166" fontId="56" fillId="0" borderId="0" xfId="0" applyNumberFormat="1" applyFont="1"/>
    <xf numFmtId="0" fontId="48" fillId="0" borderId="0" xfId="0" quotePrefix="1" applyFont="1" applyAlignment="1">
      <alignment horizontal="right"/>
    </xf>
    <xf numFmtId="0" fontId="55" fillId="0" borderId="0" xfId="0" applyFont="1" applyAlignment="1">
      <alignment horizontal="right"/>
    </xf>
    <xf numFmtId="0" fontId="48" fillId="34" borderId="15" xfId="0" applyFont="1" applyFill="1" applyBorder="1"/>
    <xf numFmtId="17" fontId="48" fillId="34" borderId="12" xfId="0" quotePrefix="1" applyNumberFormat="1" applyFont="1" applyFill="1" applyBorder="1" applyAlignment="1">
      <alignment horizontal="right"/>
    </xf>
    <xf numFmtId="0" fontId="48" fillId="34" borderId="16" xfId="0" applyFont="1" applyFill="1" applyBorder="1" applyAlignment="1">
      <alignment horizontal="right"/>
    </xf>
    <xf numFmtId="166" fontId="54" fillId="0" borderId="0" xfId="0" applyNumberFormat="1" applyFont="1"/>
    <xf numFmtId="3" fontId="48" fillId="34" borderId="0" xfId="0" applyNumberFormat="1" applyFont="1" applyFill="1"/>
    <xf numFmtId="167" fontId="25" fillId="0" borderId="0" xfId="0" applyNumberFormat="1" applyFont="1" applyAlignment="1">
      <alignment horizontal="right"/>
    </xf>
    <xf numFmtId="9" fontId="25" fillId="0" borderId="0" xfId="0" applyNumberFormat="1" applyFont="1"/>
    <xf numFmtId="10" fontId="48" fillId="0" borderId="0" xfId="43" applyNumberFormat="1" applyFont="1"/>
    <xf numFmtId="167" fontId="48" fillId="0" borderId="0" xfId="0" applyNumberFormat="1" applyFont="1"/>
    <xf numFmtId="0" fontId="48" fillId="34" borderId="0" xfId="0" applyFont="1" applyFill="1" applyBorder="1"/>
    <xf numFmtId="0" fontId="25" fillId="34" borderId="0" xfId="0" applyFont="1" applyFill="1" applyBorder="1"/>
    <xf numFmtId="0" fontId="25" fillId="34" borderId="12" xfId="0" applyFont="1" applyFill="1" applyBorder="1"/>
    <xf numFmtId="0" fontId="48" fillId="34" borderId="12" xfId="0" applyFont="1" applyFill="1" applyBorder="1" applyAlignment="1">
      <alignment horizontal="left"/>
    </xf>
    <xf numFmtId="0" fontId="48" fillId="33" borderId="0" xfId="0" applyFont="1" applyFill="1"/>
    <xf numFmtId="14" fontId="25" fillId="0" borderId="0" xfId="0" applyNumberFormat="1" applyFont="1" applyAlignment="1">
      <alignment horizontal="right"/>
    </xf>
    <xf numFmtId="10" fontId="25" fillId="0" borderId="0" xfId="43" applyNumberFormat="1" applyFont="1" applyFill="1"/>
    <xf numFmtId="14" fontId="25" fillId="0" borderId="0" xfId="0" applyNumberFormat="1" applyFont="1" applyFill="1" applyAlignment="1">
      <alignment horizontal="right"/>
    </xf>
    <xf numFmtId="14" fontId="25" fillId="0" borderId="11" xfId="0" applyNumberFormat="1" applyFont="1" applyBorder="1" applyAlignment="1">
      <alignment horizontal="right"/>
    </xf>
    <xf numFmtId="166" fontId="48" fillId="34" borderId="0" xfId="0" applyNumberFormat="1" applyFont="1" applyFill="1"/>
    <xf numFmtId="166" fontId="58" fillId="34" borderId="12" xfId="0" quotePrefix="1" applyNumberFormat="1" applyFont="1" applyFill="1" applyBorder="1" applyAlignment="1">
      <alignment horizontal="right"/>
    </xf>
    <xf numFmtId="0" fontId="60" fillId="0" borderId="0" xfId="0" applyFont="1"/>
    <xf numFmtId="10" fontId="48" fillId="33" borderId="0" xfId="43" applyNumberFormat="1" applyFont="1" applyFill="1"/>
    <xf numFmtId="169" fontId="48" fillId="34" borderId="12" xfId="0" applyNumberFormat="1" applyFont="1" applyFill="1" applyBorder="1" applyAlignment="1">
      <alignment horizontal="right"/>
    </xf>
    <xf numFmtId="169" fontId="48" fillId="34" borderId="12" xfId="0" applyNumberFormat="1" applyFont="1" applyFill="1" applyBorder="1" applyAlignment="1">
      <alignment horizontal="right" wrapText="1"/>
    </xf>
    <xf numFmtId="0" fontId="25" fillId="33" borderId="0" xfId="0" applyFont="1" applyFill="1"/>
    <xf numFmtId="3" fontId="4" fillId="35" borderId="0" xfId="586" applyNumberFormat="1" applyFill="1"/>
    <xf numFmtId="166" fontId="25" fillId="0" borderId="0" xfId="0" applyNumberFormat="1" applyFont="1" applyFill="1" applyBorder="1" applyAlignment="1">
      <alignment horizontal="right"/>
    </xf>
    <xf numFmtId="166" fontId="3" fillId="0" borderId="0" xfId="982" applyNumberFormat="1" applyFont="1" applyFill="1"/>
    <xf numFmtId="0" fontId="52" fillId="0" borderId="0" xfId="1100" applyFont="1" applyFill="1" applyAlignment="1"/>
    <xf numFmtId="0" fontId="3" fillId="0" borderId="0" xfId="1100" applyFill="1"/>
    <xf numFmtId="0" fontId="52" fillId="0" borderId="0" xfId="1100" applyFont="1" applyFill="1" applyAlignment="1"/>
    <xf numFmtId="166" fontId="3" fillId="0" borderId="0" xfId="982" applyNumberFormat="1" applyFont="1" applyFill="1"/>
    <xf numFmtId="0" fontId="3" fillId="0" borderId="0" xfId="1100" applyFill="1"/>
    <xf numFmtId="0" fontId="3" fillId="0" borderId="0" xfId="1100" applyFill="1"/>
    <xf numFmtId="166" fontId="3" fillId="0" borderId="0" xfId="982" applyNumberFormat="1" applyFont="1" applyFill="1"/>
    <xf numFmtId="0" fontId="52" fillId="0" borderId="0" xfId="1100" applyFont="1" applyFill="1" applyAlignment="1"/>
    <xf numFmtId="0" fontId="0" fillId="0" borderId="0" xfId="0"/>
    <xf numFmtId="0" fontId="20" fillId="35" borderId="0" xfId="0" applyFont="1" applyFill="1"/>
    <xf numFmtId="0" fontId="52" fillId="0" borderId="0" xfId="1095" applyFont="1" applyFill="1" applyAlignment="1"/>
    <xf numFmtId="0" fontId="52" fillId="35" borderId="0" xfId="1095" applyFont="1" applyFill="1" applyAlignment="1"/>
    <xf numFmtId="166" fontId="3" fillId="0" borderId="0" xfId="1087" applyNumberFormat="1" applyFont="1" applyFill="1"/>
    <xf numFmtId="165" fontId="3" fillId="0" borderId="0" xfId="1087" applyNumberFormat="1" applyFont="1" applyFill="1"/>
    <xf numFmtId="166" fontId="25" fillId="0" borderId="0" xfId="0" applyNumberFormat="1" applyFont="1" applyFill="1"/>
    <xf numFmtId="166" fontId="48" fillId="0" borderId="0" xfId="0" applyNumberFormat="1" applyFont="1" applyFill="1"/>
    <xf numFmtId="10" fontId="25" fillId="0" borderId="0" xfId="43" applyNumberFormat="1" applyFont="1" applyFill="1"/>
    <xf numFmtId="10" fontId="48" fillId="0" borderId="0" xfId="43" applyNumberFormat="1" applyFont="1" applyFill="1"/>
    <xf numFmtId="0" fontId="2" fillId="0" borderId="0" xfId="0" applyFont="1"/>
    <xf numFmtId="166" fontId="25" fillId="0" borderId="0" xfId="0" applyNumberFormat="1" applyFont="1"/>
    <xf numFmtId="166" fontId="48" fillId="0" borderId="0" xfId="0" applyNumberFormat="1" applyFont="1"/>
    <xf numFmtId="166" fontId="25" fillId="0" borderId="0" xfId="0" applyNumberFormat="1" applyFont="1" applyFill="1" applyAlignment="1">
      <alignment horizontal="right"/>
    </xf>
    <xf numFmtId="166" fontId="25" fillId="0" borderId="0" xfId="0" applyNumberFormat="1" applyFont="1" applyFill="1"/>
    <xf numFmtId="166" fontId="25" fillId="0" borderId="11" xfId="0" applyNumberFormat="1" applyFont="1" applyFill="1" applyBorder="1"/>
    <xf numFmtId="166" fontId="48" fillId="0" borderId="11" xfId="0" applyNumberFormat="1" applyFont="1" applyBorder="1"/>
    <xf numFmtId="167" fontId="25" fillId="0" borderId="0" xfId="0" applyNumberFormat="1" applyFont="1" applyAlignment="1">
      <alignment horizontal="right"/>
    </xf>
    <xf numFmtId="167" fontId="48" fillId="0" borderId="0" xfId="0" applyNumberFormat="1" applyFont="1"/>
    <xf numFmtId="14" fontId="25" fillId="0" borderId="0" xfId="0" applyNumberFormat="1" applyFont="1" applyFill="1" applyAlignment="1">
      <alignment horizontal="right"/>
    </xf>
    <xf numFmtId="166" fontId="48" fillId="0" borderId="0" xfId="0" applyNumberFormat="1" applyFont="1" applyFill="1"/>
    <xf numFmtId="164" fontId="0" fillId="0" borderId="0" xfId="0" applyNumberFormat="1" applyFont="1"/>
    <xf numFmtId="0" fontId="49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0" fillId="0" borderId="0" xfId="1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166" fontId="48" fillId="0" borderId="0" xfId="0" applyNumberFormat="1" applyFont="1" applyAlignment="1">
      <alignment horizontal="center"/>
    </xf>
    <xf numFmtId="166" fontId="58" fillId="34" borderId="14" xfId="0" quotePrefix="1" applyNumberFormat="1" applyFont="1" applyFill="1" applyBorder="1" applyAlignment="1">
      <alignment horizontal="right"/>
    </xf>
    <xf numFmtId="166" fontId="58" fillId="34" borderId="0" xfId="0" quotePrefix="1" applyNumberFormat="1" applyFont="1" applyFill="1" applyBorder="1" applyAlignment="1">
      <alignment horizontal="right"/>
    </xf>
    <xf numFmtId="166" fontId="58" fillId="34" borderId="12" xfId="0" quotePrefix="1" applyNumberFormat="1" applyFont="1" applyFill="1" applyBorder="1" applyAlignment="1">
      <alignment horizontal="right"/>
    </xf>
    <xf numFmtId="0" fontId="48" fillId="34" borderId="13" xfId="0" applyFont="1" applyFill="1" applyBorder="1" applyAlignment="1">
      <alignment horizontal="right"/>
    </xf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 applyAlignment="1">
      <alignment horizontal="center" vertical="center"/>
    </xf>
    <xf numFmtId="166" fontId="25" fillId="0" borderId="0" xfId="0" applyNumberFormat="1" applyFont="1" applyFill="1" applyAlignment="1">
      <alignment horizontal="center"/>
    </xf>
    <xf numFmtId="0" fontId="48" fillId="34" borderId="13" xfId="0" applyFont="1" applyFill="1" applyBorder="1" applyAlignment="1">
      <alignment horizontal="center"/>
    </xf>
    <xf numFmtId="0" fontId="49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165" fontId="48" fillId="34" borderId="0" xfId="1" applyFont="1" applyFill="1" applyBorder="1" applyAlignment="1">
      <alignment horizontal="right" wrapText="1"/>
    </xf>
    <xf numFmtId="165" fontId="48" fillId="34" borderId="12" xfId="1" applyFont="1" applyFill="1" applyBorder="1" applyAlignment="1">
      <alignment horizontal="right" wrapText="1"/>
    </xf>
    <xf numFmtId="0" fontId="48" fillId="0" borderId="0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8" fillId="34" borderId="14" xfId="0" applyFont="1" applyFill="1" applyBorder="1" applyAlignment="1">
      <alignment horizontal="center"/>
    </xf>
    <xf numFmtId="0" fontId="48" fillId="34" borderId="0" xfId="0" applyFont="1" applyFill="1" applyBorder="1" applyAlignment="1">
      <alignment horizontal="right" wrapText="1"/>
    </xf>
    <xf numFmtId="0" fontId="48" fillId="34" borderId="12" xfId="0" applyFont="1" applyFill="1" applyBorder="1" applyAlignment="1">
      <alignment horizontal="right" wrapText="1"/>
    </xf>
    <xf numFmtId="14" fontId="48" fillId="34" borderId="0" xfId="0" applyNumberFormat="1" applyFont="1" applyFill="1" applyBorder="1" applyAlignment="1">
      <alignment horizontal="right" wrapText="1"/>
    </xf>
    <xf numFmtId="14" fontId="48" fillId="34" borderId="12" xfId="0" applyNumberFormat="1" applyFont="1" applyFill="1" applyBorder="1" applyAlignment="1">
      <alignment horizontal="right" wrapText="1"/>
    </xf>
    <xf numFmtId="0" fontId="20" fillId="0" borderId="10" xfId="0" applyFont="1" applyBorder="1" applyAlignment="1">
      <alignment horizontal="center"/>
    </xf>
    <xf numFmtId="43" fontId="25" fillId="0" borderId="0" xfId="1" applyNumberFormat="1" applyFont="1" applyFill="1"/>
    <xf numFmtId="2" fontId="25" fillId="0" borderId="0" xfId="43" applyNumberFormat="1" applyFont="1" applyFill="1"/>
  </cellXfs>
  <cellStyles count="2147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zoomScaleNormal="100" workbookViewId="0">
      <selection activeCell="A16" sqref="A16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43434</v>
      </c>
    </row>
    <row r="7" spans="1:12" x14ac:dyDescent="0.2">
      <c r="A7" s="107" t="str">
        <f>"Market Profile - "&amp; TEXT($H$3,"MMM")&amp;" "&amp;TEXT($H$3,"YYYY")</f>
        <v>Market Profile - Nov 2018</v>
      </c>
    </row>
    <row r="8" spans="1:12" x14ac:dyDescent="0.2">
      <c r="A8" s="107"/>
      <c r="G8" s="377" t="s">
        <v>199</v>
      </c>
      <c r="H8" s="377"/>
      <c r="I8" s="377"/>
    </row>
    <row r="9" spans="1:12" x14ac:dyDescent="0.2">
      <c r="A9" s="107"/>
      <c r="G9" s="377"/>
      <c r="H9" s="377"/>
      <c r="I9" s="377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386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386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387"/>
      <c r="B15" s="282" t="str">
        <f>TEXT($H$3,"MMM")&amp;" "&amp;TEXT($H$3,"YYYY")</f>
        <v>Nov 2018</v>
      </c>
      <c r="C15" s="282" t="str">
        <f>TEXT($H$3,"YYYY")</f>
        <v>2018</v>
      </c>
      <c r="D15" s="283">
        <f>TEXT($H$3,"YYYY")-1</f>
        <v>2017</v>
      </c>
      <c r="E15" s="284" t="s">
        <v>6</v>
      </c>
      <c r="F15" s="285">
        <f>TEXT($H$3,"YYYY")-1</f>
        <v>2017</v>
      </c>
      <c r="G15" s="285">
        <f>TEXT($H$3,"YYYY")-2</f>
        <v>2016</v>
      </c>
      <c r="H15" s="285">
        <f>TEXT($H$3,"YYYY")-3</f>
        <v>2015</v>
      </c>
      <c r="I15" s="285">
        <f>TEXT($H$3,"YYYY")-4</f>
        <v>2014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7191180</v>
      </c>
      <c r="C16" s="127">
        <f>Data!D5</f>
        <v>65209373</v>
      </c>
      <c r="D16" s="249">
        <f>Data!D8</f>
        <v>62126590</v>
      </c>
      <c r="E16" s="286">
        <f>(C16-D16)/ABS(D16)</f>
        <v>4.9620991591523049E-2</v>
      </c>
      <c r="F16" s="369">
        <v>67786095</v>
      </c>
      <c r="G16" s="361">
        <v>71179762</v>
      </c>
      <c r="H16" s="361">
        <v>61894253</v>
      </c>
      <c r="I16" s="361">
        <v>46298171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7091.7880960000002</v>
      </c>
      <c r="C17" s="127">
        <f>Data!B5/1000000</f>
        <v>83852.580847999998</v>
      </c>
      <c r="D17" s="249">
        <f>Data!B8/1000000</f>
        <v>75336.883144000007</v>
      </c>
      <c r="E17" s="286">
        <f t="shared" ref="E17:E18" si="0">(C17-D17)/ABS(D17)</f>
        <v>0.11303490864790575</v>
      </c>
      <c r="F17" s="369">
        <v>85958</v>
      </c>
      <c r="G17" s="361">
        <v>79501</v>
      </c>
      <c r="H17" s="361">
        <v>74406</v>
      </c>
      <c r="I17" s="361">
        <v>61735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465989.56752702862</v>
      </c>
      <c r="C18" s="127">
        <f>Data!C5/1000000</f>
        <v>5215243.9556876468</v>
      </c>
      <c r="D18" s="249">
        <f>Data!C8/1000000</f>
        <v>4904835.6793119274</v>
      </c>
      <c r="E18" s="286">
        <f t="shared" si="0"/>
        <v>6.3286172396149434E-2</v>
      </c>
      <c r="F18" s="369">
        <v>5479433</v>
      </c>
      <c r="G18" s="361">
        <v>5892768</v>
      </c>
      <c r="H18" s="361">
        <v>5015419</v>
      </c>
      <c r="I18" s="361">
        <v>4050044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9"/>
      <c r="G19" s="361"/>
      <c r="H19" s="361"/>
      <c r="I19" s="361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9"/>
      <c r="G20" s="361"/>
      <c r="H20" s="362"/>
      <c r="I20" s="362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1326</v>
      </c>
      <c r="C21" s="127">
        <f>Data!F5</f>
        <v>20980</v>
      </c>
      <c r="D21" s="249">
        <f>Data!F8</f>
        <v>32973</v>
      </c>
      <c r="E21" s="286">
        <f>(C21-D21)/ABS(D21)</f>
        <v>-0.36372183301489097</v>
      </c>
      <c r="F21" s="369">
        <v>36150</v>
      </c>
      <c r="G21" s="361">
        <v>38735</v>
      </c>
      <c r="H21" s="361">
        <v>30897</v>
      </c>
      <c r="I21" s="361">
        <v>30062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619.14507200000003</v>
      </c>
      <c r="C22" s="127">
        <f>Data!G5/1000000</f>
        <v>7938.2886719999997</v>
      </c>
      <c r="D22" s="249">
        <f>Data!G8/1000000</f>
        <v>7866.6374610000003</v>
      </c>
      <c r="E22" s="286">
        <f t="shared" ref="E22:E23" si="1">(C22-D22)/ABS(D22)</f>
        <v>9.1082386032432187E-3</v>
      </c>
      <c r="F22" s="369">
        <v>10343</v>
      </c>
      <c r="G22" s="361">
        <v>6935</v>
      </c>
      <c r="H22" s="361">
        <v>7273</v>
      </c>
      <c r="I22" s="361">
        <v>6833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26926.198737983625</v>
      </c>
      <c r="C23" s="128">
        <f>Data!H5/1000000</f>
        <v>316620.24634650088</v>
      </c>
      <c r="D23" s="290">
        <f>Data!H8/1000000</f>
        <v>357440.52285505709</v>
      </c>
      <c r="E23" s="291">
        <f t="shared" si="1"/>
        <v>-0.11420159130952515</v>
      </c>
      <c r="F23" s="370">
        <v>417329</v>
      </c>
      <c r="G23" s="292">
        <v>379199</v>
      </c>
      <c r="H23" s="292">
        <v>336258</v>
      </c>
      <c r="I23" s="292">
        <v>294652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3"/>
      <c r="H26" s="281"/>
      <c r="I26" s="281"/>
      <c r="K26" s="172"/>
      <c r="L26" s="172"/>
    </row>
    <row r="27" spans="1:12" s="107" customFormat="1" ht="12.75" customHeight="1" x14ac:dyDescent="0.25">
      <c r="A27" s="294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5"/>
      <c r="B28" s="282" t="str">
        <f>TEXT($H$3,"MMM")&amp;" "&amp;TEXT($H$3,"YYYY")</f>
        <v>Nov 2018</v>
      </c>
      <c r="C28" s="282" t="str">
        <f>$C$15</f>
        <v>2018</v>
      </c>
      <c r="D28" s="282">
        <f>$D$15</f>
        <v>2017</v>
      </c>
      <c r="E28" s="284" t="s">
        <v>6</v>
      </c>
      <c r="F28" s="284">
        <f>$F$15</f>
        <v>2017</v>
      </c>
      <c r="G28" s="295">
        <f>$G$15</f>
        <v>2016</v>
      </c>
      <c r="H28" s="295">
        <f>$H$15</f>
        <v>2015</v>
      </c>
      <c r="I28" s="295">
        <f>$I$15</f>
        <v>2014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84416.134737380009</v>
      </c>
      <c r="C29" s="249">
        <f>Data!O5/1000000</f>
        <v>1013661.78923613</v>
      </c>
      <c r="D29" s="249">
        <f>Data!O8/1000000</f>
        <v>863411.83784881991</v>
      </c>
      <c r="E29" s="195">
        <f>C29-D29</f>
        <v>150249.95138731005</v>
      </c>
      <c r="F29" s="366">
        <v>992119</v>
      </c>
      <c r="G29" s="249">
        <v>1010947</v>
      </c>
      <c r="H29" s="296">
        <v>969468</v>
      </c>
      <c r="I29" s="296">
        <v>784579</v>
      </c>
      <c r="J29" s="129"/>
    </row>
    <row r="30" spans="1:12" ht="12.75" customHeight="1" x14ac:dyDescent="0.2">
      <c r="A30" s="248" t="s">
        <v>11</v>
      </c>
      <c r="B30" s="249">
        <f>Data!P2/1000000</f>
        <v>-102682.68814469999</v>
      </c>
      <c r="C30" s="249">
        <f>Data!P5/1000000</f>
        <v>-1054371.87338814</v>
      </c>
      <c r="D30" s="249">
        <f>Data!P8/1000000</f>
        <v>-941576.8970888101</v>
      </c>
      <c r="E30" s="195">
        <f>C30-D30</f>
        <v>-112794.97629932989</v>
      </c>
      <c r="F30" s="366">
        <v>-1039685</v>
      </c>
      <c r="G30" s="249">
        <v>-1134812</v>
      </c>
      <c r="H30" s="296">
        <v>-970485</v>
      </c>
      <c r="I30" s="296">
        <v>-771216</v>
      </c>
      <c r="J30" s="129"/>
    </row>
    <row r="31" spans="1:12" s="107" customFormat="1" ht="12.75" customHeight="1" thickBot="1" x14ac:dyDescent="0.3">
      <c r="A31" s="297" t="s">
        <v>12</v>
      </c>
      <c r="B31" s="298">
        <f>Data!Q2/1000000</f>
        <v>-18266.55340732</v>
      </c>
      <c r="C31" s="298">
        <f>Data!Q5/1000000</f>
        <v>-40710.08415201</v>
      </c>
      <c r="D31" s="298">
        <f>Data!Q8/1000000</f>
        <v>-78165.059239990005</v>
      </c>
      <c r="E31" s="299">
        <f>C31-D31</f>
        <v>37454.975087980005</v>
      </c>
      <c r="F31" s="371">
        <v>-47566</v>
      </c>
      <c r="G31" s="298">
        <v>-123865</v>
      </c>
      <c r="H31" s="298">
        <v>-1017</v>
      </c>
      <c r="I31" s="298">
        <v>13363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300"/>
      <c r="B34" s="280" t="s">
        <v>1</v>
      </c>
      <c r="C34" s="280" t="s">
        <v>179</v>
      </c>
      <c r="D34" s="280" t="s">
        <v>179</v>
      </c>
      <c r="E34" s="301" t="s">
        <v>2</v>
      </c>
      <c r="F34" s="301"/>
      <c r="G34" s="293"/>
      <c r="H34" s="301"/>
      <c r="I34" s="300"/>
      <c r="K34" s="171"/>
      <c r="L34" s="172"/>
    </row>
    <row r="35" spans="1:14" s="107" customFormat="1" ht="12.75" customHeight="1" x14ac:dyDescent="0.25">
      <c r="A35" s="300"/>
      <c r="B35" s="280" t="s">
        <v>3</v>
      </c>
      <c r="C35" s="280" t="s">
        <v>4</v>
      </c>
      <c r="D35" s="280" t="s">
        <v>4</v>
      </c>
      <c r="E35" s="301" t="s">
        <v>5</v>
      </c>
      <c r="F35" s="280"/>
      <c r="G35" s="293"/>
      <c r="H35" s="301"/>
      <c r="I35" s="300"/>
      <c r="K35" s="171"/>
      <c r="L35" s="172"/>
    </row>
    <row r="36" spans="1:14" s="107" customFormat="1" ht="12.75" customHeight="1" thickBot="1" x14ac:dyDescent="0.3">
      <c r="A36" s="302"/>
      <c r="B36" s="282" t="str">
        <f>TEXT($H$3,"MMM")&amp;" "&amp;TEXT($H$3,"YYYY")</f>
        <v>Nov 2018</v>
      </c>
      <c r="C36" s="282" t="str">
        <f>$C$15</f>
        <v>2018</v>
      </c>
      <c r="D36" s="282">
        <f>$D$15</f>
        <v>2017</v>
      </c>
      <c r="E36" s="284" t="s">
        <v>6</v>
      </c>
      <c r="F36" s="284">
        <f>$F$15</f>
        <v>2017</v>
      </c>
      <c r="G36" s="295">
        <f>$G$15</f>
        <v>2016</v>
      </c>
      <c r="H36" s="295">
        <f>$H$15</f>
        <v>2015</v>
      </c>
      <c r="I36" s="295">
        <f>$I$15</f>
        <v>2014</v>
      </c>
      <c r="K36" s="173"/>
      <c r="L36" s="178"/>
    </row>
    <row r="37" spans="1:14" ht="12.75" customHeight="1" x14ac:dyDescent="0.25">
      <c r="A37" s="303" t="s">
        <v>150</v>
      </c>
      <c r="B37" s="304"/>
      <c r="C37" s="304"/>
      <c r="D37" s="304"/>
      <c r="E37" s="303"/>
      <c r="F37" s="303"/>
      <c r="G37" s="287"/>
      <c r="H37" s="303"/>
      <c r="I37" s="303"/>
      <c r="K37" s="171"/>
      <c r="M37" s="19"/>
      <c r="N37" s="19"/>
    </row>
    <row r="38" spans="1:14" ht="12.75" customHeight="1" x14ac:dyDescent="0.2">
      <c r="A38" s="305" t="s">
        <v>117</v>
      </c>
      <c r="B38" s="287">
        <f>Data!CK1</f>
        <v>28368</v>
      </c>
      <c r="C38" s="287">
        <f>Data!CK6</f>
        <v>287055</v>
      </c>
      <c r="D38" s="287">
        <f>Data!CK11</f>
        <v>274176</v>
      </c>
      <c r="E38" s="286">
        <f t="shared" ref="E38:E40" si="2">IFERROR(IF(OR(AND(D38="",C38=""),AND(D38=0,C38=0)),"",
IF(OR(D38="",D38=0),1,
IF(OR(D38&lt;&gt;"",D38&lt;&gt;0),(C38-D38)/ABS(D38)))),-1)</f>
        <v>4.6973476890756302E-2</v>
      </c>
      <c r="F38" s="369">
        <v>291730</v>
      </c>
      <c r="G38" s="361">
        <v>283127</v>
      </c>
      <c r="H38" s="361">
        <v>290607</v>
      </c>
      <c r="I38" s="361">
        <v>240900</v>
      </c>
      <c r="J38" s="29"/>
      <c r="K38" s="171"/>
      <c r="M38" s="19"/>
      <c r="N38" s="19"/>
    </row>
    <row r="39" spans="1:14" ht="12.75" customHeight="1" x14ac:dyDescent="0.2">
      <c r="A39" s="305" t="s">
        <v>151</v>
      </c>
      <c r="B39" s="287">
        <f>Data!CK2/1000000</f>
        <v>831141.22449499997</v>
      </c>
      <c r="C39" s="287">
        <f>Data!CK7/1000000</f>
        <v>8792284.9750750009</v>
      </c>
      <c r="D39" s="287">
        <f>Data!CK12/1000000</f>
        <v>7385007.1617160002</v>
      </c>
      <c r="E39" s="286">
        <f t="shared" si="2"/>
        <v>0.19055876081669254</v>
      </c>
      <c r="F39" s="369">
        <v>7876304</v>
      </c>
      <c r="G39" s="361">
        <v>7321629</v>
      </c>
      <c r="H39" s="361">
        <v>6653964</v>
      </c>
      <c r="I39" s="361">
        <v>5413031</v>
      </c>
      <c r="J39" s="27"/>
      <c r="K39" s="171"/>
    </row>
    <row r="40" spans="1:14" ht="12.75" customHeight="1" x14ac:dyDescent="0.2">
      <c r="A40" s="305" t="s">
        <v>152</v>
      </c>
      <c r="B40" s="287">
        <f>Data!CK3/1000000</f>
        <v>837608.01650944003</v>
      </c>
      <c r="C40" s="287">
        <f>Data!CK8/1000000</f>
        <v>9062666.8592199925</v>
      </c>
      <c r="D40" s="287">
        <f>Data!CK13/1000000</f>
        <v>7700091.5449505001</v>
      </c>
      <c r="E40" s="286">
        <f t="shared" si="2"/>
        <v>0.17695572920337946</v>
      </c>
      <c r="F40" s="369">
        <v>8198143</v>
      </c>
      <c r="G40" s="361">
        <v>7580050</v>
      </c>
      <c r="H40" s="361">
        <v>7166248</v>
      </c>
      <c r="I40" s="361">
        <v>5777503</v>
      </c>
      <c r="J40" s="29"/>
      <c r="L40" s="176"/>
    </row>
    <row r="41" spans="1:14" ht="12.75" customHeight="1" x14ac:dyDescent="0.2">
      <c r="A41" s="305"/>
      <c r="B41" s="249"/>
      <c r="C41" s="306"/>
      <c r="D41" s="306"/>
      <c r="E41" s="184"/>
      <c r="F41" s="369"/>
      <c r="G41" s="361"/>
      <c r="H41" s="361"/>
      <c r="I41" s="306"/>
      <c r="M41" s="19"/>
      <c r="N41" s="19"/>
    </row>
    <row r="42" spans="1:14" s="107" customFormat="1" ht="12.75" customHeight="1" x14ac:dyDescent="0.25">
      <c r="A42" s="303" t="s">
        <v>153</v>
      </c>
      <c r="B42" s="287"/>
      <c r="C42" s="287"/>
      <c r="D42" s="287"/>
      <c r="E42" s="184"/>
      <c r="F42" s="369"/>
      <c r="G42" s="361"/>
      <c r="H42" s="307"/>
      <c r="I42" s="307"/>
      <c r="K42" s="172"/>
      <c r="L42" s="172"/>
      <c r="M42" s="16"/>
      <c r="N42" s="16"/>
    </row>
    <row r="43" spans="1:14" ht="12.75" customHeight="1" x14ac:dyDescent="0.2">
      <c r="A43" s="305" t="s">
        <v>117</v>
      </c>
      <c r="B43" s="287">
        <f>Data!CN1</f>
        <v>15476</v>
      </c>
      <c r="C43" s="287">
        <f>Data!CN6</f>
        <v>151416</v>
      </c>
      <c r="D43" s="287">
        <f>Data!CN11</f>
        <v>146305</v>
      </c>
      <c r="E43" s="286">
        <f t="shared" ref="E43:E45" si="3">IFERROR(IF(OR(AND(D43="",C43=""),AND(D43=0,C43=0)),"",
IF(OR(D43="",D43=0),1,
IF(OR(D43&lt;&gt;"",D43&lt;&gt;0),(C43-D43)/ABS(D43)))),-1)</f>
        <v>3.4933871022863196E-2</v>
      </c>
      <c r="F43" s="369">
        <v>153015</v>
      </c>
      <c r="G43" s="361">
        <v>170507</v>
      </c>
      <c r="H43" s="361">
        <v>157998</v>
      </c>
      <c r="I43" s="361">
        <v>137284</v>
      </c>
      <c r="J43" s="27"/>
      <c r="L43" s="172"/>
      <c r="M43" s="19"/>
      <c r="N43" s="19"/>
    </row>
    <row r="44" spans="1:14" ht="12.75" customHeight="1" x14ac:dyDescent="0.2">
      <c r="A44" s="305" t="s">
        <v>154</v>
      </c>
      <c r="B44" s="287">
        <f>Data!CN2/1000000</f>
        <v>1962693.925426</v>
      </c>
      <c r="C44" s="287">
        <f>Data!CN7/1000000</f>
        <v>19555759.057319999</v>
      </c>
      <c r="D44" s="287">
        <f>Data!CN12/1000000</f>
        <v>18029159.295435999</v>
      </c>
      <c r="E44" s="286">
        <f t="shared" si="3"/>
        <v>8.4673929431110642E-2</v>
      </c>
      <c r="F44" s="369">
        <v>19085335</v>
      </c>
      <c r="G44" s="361">
        <v>19586029</v>
      </c>
      <c r="H44" s="361">
        <v>15650220</v>
      </c>
      <c r="I44" s="361">
        <v>12475495</v>
      </c>
      <c r="J44" s="29"/>
      <c r="L44" s="172"/>
    </row>
    <row r="45" spans="1:14" ht="12.75" customHeight="1" x14ac:dyDescent="0.2">
      <c r="A45" s="305" t="s">
        <v>152</v>
      </c>
      <c r="B45" s="287">
        <f>Data!CN3/1000000</f>
        <v>1828839.994867899</v>
      </c>
      <c r="C45" s="287">
        <f>Data!CN8/1000000</f>
        <v>19017257.952637963</v>
      </c>
      <c r="D45" s="287">
        <f>Data!CN13/1000000</f>
        <v>17544173.114478152</v>
      </c>
      <c r="E45" s="286">
        <f t="shared" si="3"/>
        <v>8.396433554022345E-2</v>
      </c>
      <c r="F45" s="369">
        <v>18571364</v>
      </c>
      <c r="G45" s="361">
        <v>19133372</v>
      </c>
      <c r="H45" s="361">
        <v>16112281</v>
      </c>
      <c r="I45" s="361">
        <v>12958219</v>
      </c>
      <c r="J45" s="29"/>
      <c r="L45" s="172"/>
    </row>
    <row r="46" spans="1:14" ht="12.75" customHeight="1" x14ac:dyDescent="0.2">
      <c r="A46" s="305"/>
      <c r="B46" s="249"/>
      <c r="C46" s="306"/>
      <c r="D46" s="306"/>
      <c r="E46" s="184"/>
      <c r="F46" s="369"/>
      <c r="G46" s="361"/>
      <c r="H46" s="361"/>
      <c r="I46" s="361"/>
      <c r="L46" s="172"/>
    </row>
    <row r="47" spans="1:14" ht="12.75" customHeight="1" x14ac:dyDescent="0.25">
      <c r="A47" s="308" t="s">
        <v>160</v>
      </c>
      <c r="B47" s="249"/>
      <c r="C47" s="306"/>
      <c r="D47" s="306"/>
      <c r="E47" s="184"/>
      <c r="F47" s="369"/>
      <c r="G47" s="361"/>
      <c r="H47" s="361"/>
      <c r="I47" s="361"/>
      <c r="J47" s="27"/>
      <c r="L47" s="172"/>
    </row>
    <row r="48" spans="1:14" s="107" customFormat="1" ht="12.75" customHeight="1" x14ac:dyDescent="0.2">
      <c r="A48" s="305" t="s">
        <v>117</v>
      </c>
      <c r="B48" s="127">
        <f>Data!CQ1</f>
        <v>893</v>
      </c>
      <c r="C48" s="127">
        <f>Data!CQ6</f>
        <v>7996</v>
      </c>
      <c r="D48" s="249">
        <f>Data!CQ11</f>
        <v>8190</v>
      </c>
      <c r="E48" s="286">
        <f t="shared" ref="E48:E50" si="4">IFERROR(IF(OR(AND(D48="",C48=""),AND(D48=0,C48=0)),"",
IF(OR(D48="",D48=0),1,
IF(OR(D48&lt;&gt;"",D48&lt;&gt;0),(C48-D48)/ABS(D48)))),-1)</f>
        <v>-2.3687423687423687E-2</v>
      </c>
      <c r="F48" s="369">
        <v>8729</v>
      </c>
      <c r="G48" s="361">
        <v>7665</v>
      </c>
      <c r="H48" s="361">
        <v>5572</v>
      </c>
      <c r="I48" s="361">
        <v>7734</v>
      </c>
      <c r="J48" s="27"/>
      <c r="K48" s="172"/>
      <c r="L48" s="176"/>
    </row>
    <row r="49" spans="1:12" s="107" customFormat="1" ht="12.75" customHeight="1" x14ac:dyDescent="0.2">
      <c r="A49" s="305" t="s">
        <v>154</v>
      </c>
      <c r="B49" s="127">
        <f>Data!CQ2/1000000</f>
        <v>67384.831993999993</v>
      </c>
      <c r="C49" s="127">
        <f>Data!CQ7/1000000</f>
        <v>590119.85351799999</v>
      </c>
      <c r="D49" s="249">
        <f>Data!CQ12/1000000</f>
        <v>695645.12511799997</v>
      </c>
      <c r="E49" s="286">
        <f t="shared" si="4"/>
        <v>-0.15169411498729338</v>
      </c>
      <c r="F49" s="369">
        <v>737277</v>
      </c>
      <c r="G49" s="361">
        <v>747909</v>
      </c>
      <c r="H49" s="361">
        <v>434632</v>
      </c>
      <c r="I49" s="361">
        <v>895388</v>
      </c>
      <c r="J49" s="32"/>
      <c r="K49" s="172"/>
      <c r="L49" s="176"/>
    </row>
    <row r="50" spans="1:12" s="107" customFormat="1" ht="12.75" customHeight="1" thickBot="1" x14ac:dyDescent="0.25">
      <c r="A50" s="309" t="s">
        <v>152</v>
      </c>
      <c r="B50" s="128">
        <f>Data!CQ3/1000000</f>
        <v>24665.110337450002</v>
      </c>
      <c r="C50" s="128">
        <f>Data!CQ8/1000000</f>
        <v>193171.11178552001</v>
      </c>
      <c r="D50" s="290">
        <f>Data!CQ13/1000000</f>
        <v>290287.34119359002</v>
      </c>
      <c r="E50" s="291">
        <f t="shared" si="4"/>
        <v>-0.33455206489112477</v>
      </c>
      <c r="F50" s="370">
        <v>305414</v>
      </c>
      <c r="G50" s="292">
        <v>370548</v>
      </c>
      <c r="H50" s="292">
        <v>240709</v>
      </c>
      <c r="I50" s="292">
        <v>803782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300"/>
      <c r="B54" s="280" t="s">
        <v>1</v>
      </c>
      <c r="C54" s="280" t="s">
        <v>179</v>
      </c>
      <c r="D54" s="280" t="s">
        <v>179</v>
      </c>
      <c r="E54" s="301" t="s">
        <v>8</v>
      </c>
      <c r="F54" s="310"/>
      <c r="G54" s="293"/>
      <c r="H54" s="300"/>
      <c r="I54" s="300"/>
      <c r="J54" s="30"/>
    </row>
    <row r="55" spans="1:12" ht="12.75" customHeight="1" x14ac:dyDescent="0.25">
      <c r="A55" s="300"/>
      <c r="B55" s="280" t="s">
        <v>3</v>
      </c>
      <c r="C55" s="280" t="s">
        <v>4</v>
      </c>
      <c r="D55" s="280" t="s">
        <v>4</v>
      </c>
      <c r="E55" s="301" t="s">
        <v>9</v>
      </c>
      <c r="F55" s="310"/>
      <c r="G55" s="293"/>
      <c r="H55" s="300"/>
      <c r="I55" s="300"/>
      <c r="J55" s="30"/>
    </row>
    <row r="56" spans="1:12" ht="12.75" customHeight="1" thickBot="1" x14ac:dyDescent="0.3">
      <c r="A56" s="302"/>
      <c r="B56" s="282" t="str">
        <f>TEXT($H$3,"MMM")&amp;" "&amp;TEXT($H$3,"YYYY")</f>
        <v>Nov 2018</v>
      </c>
      <c r="C56" s="282" t="str">
        <f>$C$15</f>
        <v>2018</v>
      </c>
      <c r="D56" s="282">
        <f>$D$15</f>
        <v>2017</v>
      </c>
      <c r="E56" s="284" t="s">
        <v>6</v>
      </c>
      <c r="F56" s="284">
        <f>$F$15</f>
        <v>2017</v>
      </c>
      <c r="G56" s="295">
        <f>$G$15</f>
        <v>2016</v>
      </c>
      <c r="H56" s="295">
        <f>$H$15</f>
        <v>2015</v>
      </c>
      <c r="I56" s="295">
        <f>$I$15</f>
        <v>2014</v>
      </c>
      <c r="J56" s="107"/>
      <c r="L56" s="176"/>
    </row>
    <row r="57" spans="1:12" ht="12.75" customHeight="1" x14ac:dyDescent="0.2">
      <c r="A57" s="305" t="s">
        <v>157</v>
      </c>
      <c r="B57" s="287">
        <f>(SUMIFS(Data!$CZ$14:$CZ$25,Data!$CU$14:$CU$25,"Standard Trade")+SUMIFS(Data!$CZ$14:$CZ$25,Data!$CU$14:$CU$25,"Standard Trade (Spot)"))/1000000</f>
        <v>92364.219725000003</v>
      </c>
      <c r="C57" s="287">
        <f>(SUMIFS(Data!$CZ$1:$CZ$12,Data!$CU$1:$CU$12,"Standard Trade")+SUMIFS(Data!$CZ$1:$CZ$12,Data!$CU$1:$CU$12,"Standard Trade (Spot)"))/1000000</f>
        <v>1076130.9589549999</v>
      </c>
      <c r="D57" s="287">
        <f>(SUMIFS(Data!$CZ$27:$CZ$38,Data!$CU$27:$CU$38,"Standard Trade")+SUMIFS(Data!$CZ$27:$CZ$38,Data!$CU$27:$CU$38,"Standard Trade (Spot)"))/1000000</f>
        <v>993930.78148600005</v>
      </c>
      <c r="E57" s="195">
        <f>C57-D57</f>
        <v>82200.177468999871</v>
      </c>
      <c r="F57" s="369">
        <v>1072127</v>
      </c>
      <c r="G57" s="361">
        <v>954436</v>
      </c>
      <c r="H57" s="306">
        <v>821507</v>
      </c>
      <c r="I57" s="306">
        <v>774058</v>
      </c>
      <c r="J57" s="27"/>
      <c r="L57" s="176"/>
    </row>
    <row r="58" spans="1:12" ht="12.75" customHeight="1" x14ac:dyDescent="0.2">
      <c r="A58" s="305" t="s">
        <v>158</v>
      </c>
      <c r="B58" s="287">
        <f>(SUMIFS(Data!$DC$14:$DC$25,Data!$CU$14:$CU$25,"Standard Trade")+SUMIFS(Data!$DC$14:$DC$25,Data!$CU$14:$CU$25,"Standard Trade (Spot)"))/1000000</f>
        <v>88845.702885000006</v>
      </c>
      <c r="C58" s="287">
        <f>(SUMIFS(Data!$DC$1:$DC$12,Data!$CU$1:$CU$12,"Standard Trade")+SUMIFS(Data!$DC$1:$DC$12,Data!$CU$1:$CU$12,"Standard Trade (Spot)"))/1000000</f>
        <v>1126256.8780040001</v>
      </c>
      <c r="D58" s="287">
        <f>(SUMIFS(Data!$DC$27:$DC$38,Data!$CU$27:$CU$38,"Standard Trade")+SUMIFS(Data!$DC$27:$DC$38,Data!$CU$27:$CU$38,"Standard Trade (Spot)"))/1000000</f>
        <v>938277.85919900006</v>
      </c>
      <c r="E58" s="195">
        <f>C58-D58</f>
        <v>187979.018805</v>
      </c>
      <c r="F58" s="369">
        <v>1016544</v>
      </c>
      <c r="G58" s="361">
        <v>922129</v>
      </c>
      <c r="H58" s="306">
        <v>820729</v>
      </c>
      <c r="I58" s="306">
        <v>771223</v>
      </c>
      <c r="J58" s="27"/>
      <c r="L58" s="176"/>
    </row>
    <row r="59" spans="1:12" ht="12.75" customHeight="1" thickBot="1" x14ac:dyDescent="0.3">
      <c r="A59" s="311" t="s">
        <v>12</v>
      </c>
      <c r="B59" s="298">
        <f>B57-B58</f>
        <v>3518.5168399999966</v>
      </c>
      <c r="C59" s="298">
        <f t="shared" ref="C59" si="5">C57-C58</f>
        <v>-50125.919049000135</v>
      </c>
      <c r="D59" s="298">
        <f>D57-D58</f>
        <v>55652.922286999994</v>
      </c>
      <c r="E59" s="298">
        <f>E57-E58</f>
        <v>-105778.84133600013</v>
      </c>
      <c r="F59" s="371">
        <v>55583</v>
      </c>
      <c r="G59" s="298">
        <v>32307</v>
      </c>
      <c r="H59" s="298">
        <v>778</v>
      </c>
      <c r="I59" s="298">
        <v>2835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300"/>
      <c r="B63" s="280" t="s">
        <v>1</v>
      </c>
      <c r="C63" s="280" t="s">
        <v>179</v>
      </c>
      <c r="D63" s="280" t="s">
        <v>179</v>
      </c>
      <c r="E63" s="301" t="s">
        <v>13</v>
      </c>
      <c r="F63" s="310"/>
      <c r="G63" s="293"/>
      <c r="H63" s="300"/>
      <c r="I63" s="300"/>
    </row>
    <row r="64" spans="1:12" ht="15" x14ac:dyDescent="0.25">
      <c r="A64" s="300"/>
      <c r="B64" s="280" t="s">
        <v>3</v>
      </c>
      <c r="C64" s="280" t="s">
        <v>4</v>
      </c>
      <c r="D64" s="280" t="s">
        <v>4</v>
      </c>
      <c r="E64" s="301" t="s">
        <v>9</v>
      </c>
      <c r="F64" s="310"/>
      <c r="G64" s="293"/>
      <c r="H64" s="300"/>
      <c r="I64" s="300"/>
    </row>
    <row r="65" spans="1:12" ht="15.75" thickBot="1" x14ac:dyDescent="0.3">
      <c r="A65" s="302"/>
      <c r="B65" s="282" t="str">
        <f>TEXT($H$3,"MMM")&amp;" "&amp;TEXT($H$3,"YYYY")</f>
        <v>Nov 2018</v>
      </c>
      <c r="C65" s="282" t="str">
        <f>$C$15</f>
        <v>2018</v>
      </c>
      <c r="D65" s="282">
        <f>$D$15</f>
        <v>2017</v>
      </c>
      <c r="E65" s="284" t="s">
        <v>6</v>
      </c>
      <c r="F65" s="284">
        <f>$F$15</f>
        <v>2017</v>
      </c>
      <c r="G65" s="295">
        <f>$G$15</f>
        <v>2016</v>
      </c>
      <c r="H65" s="295">
        <f>$H$15</f>
        <v>2015</v>
      </c>
      <c r="I65" s="295">
        <f>$I$15</f>
        <v>2014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337084</v>
      </c>
      <c r="C67" s="249">
        <f>Data!BR2</f>
        <v>3319438</v>
      </c>
      <c r="D67" s="249">
        <f>Data!BR8</f>
        <v>2932391</v>
      </c>
      <c r="E67" s="286">
        <f>IFERROR(IF(OR(AND(D67="",C67=""),AND(D67=0,C67=0)),"",
IF(OR(D67="",D67=0),1,
IF(OR(D67&lt;&gt;"",D67&lt;&gt;0),(C67-D67)/ABS(D67)))),-1)</f>
        <v>0.13199024277458224</v>
      </c>
      <c r="F67" s="369">
        <v>3180985</v>
      </c>
      <c r="G67" s="361">
        <v>3591024</v>
      </c>
      <c r="H67" s="361">
        <v>3526147</v>
      </c>
      <c r="I67" s="313">
        <v>3167060</v>
      </c>
      <c r="J67" s="158"/>
    </row>
    <row r="68" spans="1:12" ht="14.25" x14ac:dyDescent="0.2">
      <c r="A68" s="248" t="s">
        <v>142</v>
      </c>
      <c r="B68" s="127">
        <f>C379/1000</f>
        <v>4717.8599999999997</v>
      </c>
      <c r="C68" s="249">
        <f>Data!BQ2/1000</f>
        <v>87012.870999999999</v>
      </c>
      <c r="D68" s="249">
        <f>Data!BQ8/1000</f>
        <v>252686.01699999999</v>
      </c>
      <c r="E68" s="286">
        <f t="shared" ref="E68:E70" si="6">IFERROR(IF(OR(AND(D68="",C68=""),AND(D68=0,C68=0)),"",
IF(OR(D68="",D68=0),1,
IF(OR(D68&lt;&gt;"",D68&lt;&gt;0),(C68-D68)/ABS(D68)))),-1)</f>
        <v>-0.65564825456883125</v>
      </c>
      <c r="F68" s="369">
        <f>293558739/1000</f>
        <v>293558.739</v>
      </c>
      <c r="G68" s="361">
        <v>412077</v>
      </c>
      <c r="H68" s="361">
        <v>432277</v>
      </c>
      <c r="I68" s="361">
        <v>210421</v>
      </c>
      <c r="J68" s="158"/>
    </row>
    <row r="69" spans="1:12" ht="14.25" x14ac:dyDescent="0.2">
      <c r="A69" s="248" t="s">
        <v>143</v>
      </c>
      <c r="B69" s="127">
        <f>C397/1000000</f>
        <v>326.00947993278339</v>
      </c>
      <c r="C69" s="249">
        <f>Data!BP2/1000000000</f>
        <v>5288.472593500218</v>
      </c>
      <c r="D69" s="249">
        <f>Data!BP8/1000000000</f>
        <v>5281.6034423040301</v>
      </c>
      <c r="E69" s="286">
        <f t="shared" si="6"/>
        <v>1.3005806420770033E-3</v>
      </c>
      <c r="F69" s="369">
        <v>6132</v>
      </c>
      <c r="G69" s="361">
        <v>6894</v>
      </c>
      <c r="H69" s="361">
        <v>6619</v>
      </c>
      <c r="I69" s="361">
        <v>5958</v>
      </c>
      <c r="J69" s="158"/>
    </row>
    <row r="70" spans="1:12" ht="14.25" x14ac:dyDescent="0.2">
      <c r="A70" s="248" t="s">
        <v>144</v>
      </c>
      <c r="B70" s="127">
        <f>SUM(C408:C414)</f>
        <v>8208633</v>
      </c>
      <c r="C70" s="249">
        <f>B70</f>
        <v>8208633</v>
      </c>
      <c r="D70" s="249">
        <f>Data!BP14</f>
        <v>25396650</v>
      </c>
      <c r="E70" s="286">
        <f t="shared" si="6"/>
        <v>-0.67678284340651229</v>
      </c>
      <c r="F70" s="369">
        <v>19047404</v>
      </c>
      <c r="G70" s="361">
        <v>40320362</v>
      </c>
      <c r="H70" s="361">
        <v>60646619</v>
      </c>
      <c r="I70" s="361">
        <v>22036181</v>
      </c>
      <c r="J70" s="158"/>
    </row>
    <row r="71" spans="1:12" ht="14.25" x14ac:dyDescent="0.2">
      <c r="A71" s="248"/>
      <c r="B71" s="249"/>
      <c r="C71" s="249"/>
      <c r="D71" s="249"/>
      <c r="E71" s="248"/>
      <c r="F71" s="369"/>
      <c r="G71" s="361"/>
      <c r="H71" s="361"/>
      <c r="I71" s="361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5"/>
      <c r="G72" s="361"/>
      <c r="H72" s="361"/>
      <c r="I72" s="361"/>
      <c r="J72" s="160"/>
    </row>
    <row r="73" spans="1:12" ht="14.25" x14ac:dyDescent="0.2">
      <c r="A73" s="248" t="s">
        <v>117</v>
      </c>
      <c r="B73" s="249">
        <f>C368</f>
        <v>754</v>
      </c>
      <c r="C73" s="249">
        <f>Data!BR5</f>
        <v>11153</v>
      </c>
      <c r="D73" s="249">
        <f>Data!BR11</f>
        <v>22581</v>
      </c>
      <c r="E73" s="286">
        <f t="shared" ref="E73:E76" si="7">IFERROR(IF(OR(AND(D73="",C73=""),AND(D73=0,C73=0)),"",
IF(OR(D73="",D73=0),1,
IF(OR(D73&lt;&gt;"",D73&lt;&gt;0),(C73-D73)/ABS(D73)))),-1)</f>
        <v>-0.50608919002701391</v>
      </c>
      <c r="F73" s="369">
        <v>23654</v>
      </c>
      <c r="G73" s="361">
        <v>22261</v>
      </c>
      <c r="H73" s="361">
        <v>19921</v>
      </c>
      <c r="I73" s="361">
        <v>20811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745.66800000000001</v>
      </c>
      <c r="C74" s="249">
        <f>Data!BQ5/1000</f>
        <v>12915.21</v>
      </c>
      <c r="D74" s="249">
        <f>Data!BQ11/1000</f>
        <v>17181.227999999999</v>
      </c>
      <c r="E74" s="286">
        <f t="shared" si="7"/>
        <v>-0.24829529065093603</v>
      </c>
      <c r="F74" s="369">
        <v>18006</v>
      </c>
      <c r="G74" s="361">
        <v>15373</v>
      </c>
      <c r="H74" s="361">
        <v>15764</v>
      </c>
      <c r="I74" s="361">
        <v>41957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3.44634606765</v>
      </c>
      <c r="C75" s="249">
        <f>Data!BP5/1000000000</f>
        <v>37.892803822050006</v>
      </c>
      <c r="D75" s="249">
        <f>Data!BP11/1000000000</f>
        <v>38.629274677310001</v>
      </c>
      <c r="E75" s="286">
        <f t="shared" si="7"/>
        <v>-1.9065096650457743E-2</v>
      </c>
      <c r="F75" s="369">
        <v>41</v>
      </c>
      <c r="G75" s="361">
        <v>47</v>
      </c>
      <c r="H75" s="361">
        <v>28</v>
      </c>
      <c r="I75" s="361">
        <v>24</v>
      </c>
      <c r="J75" s="158"/>
      <c r="K75" s="177"/>
    </row>
    <row r="76" spans="1:12" ht="14.25" x14ac:dyDescent="0.2">
      <c r="A76" s="248" t="s">
        <v>144</v>
      </c>
      <c r="B76" s="249">
        <f>SUM(C417:C420)</f>
        <v>3146090</v>
      </c>
      <c r="C76" s="249">
        <f>B76</f>
        <v>3146090</v>
      </c>
      <c r="D76" s="249">
        <f>Data!BP17</f>
        <v>4059362</v>
      </c>
      <c r="E76" s="286">
        <f t="shared" si="7"/>
        <v>-0.2249791962382266</v>
      </c>
      <c r="F76" s="369">
        <v>2296842</v>
      </c>
      <c r="G76" s="361">
        <v>2300487</v>
      </c>
      <c r="H76" s="361">
        <v>1541161</v>
      </c>
      <c r="I76" s="361">
        <v>2094483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Nov 2018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77" t="s">
        <v>199</v>
      </c>
      <c r="G95" s="377"/>
      <c r="H95" s="377"/>
      <c r="I95" s="230"/>
    </row>
    <row r="96" spans="1:9" x14ac:dyDescent="0.2">
      <c r="A96" s="247"/>
      <c r="B96" s="159"/>
      <c r="C96" s="247"/>
      <c r="D96" s="247"/>
      <c r="E96" s="247"/>
      <c r="F96" s="377"/>
      <c r="G96" s="377"/>
      <c r="H96" s="377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300"/>
      <c r="B99" s="280" t="s">
        <v>1</v>
      </c>
      <c r="C99" s="280" t="s">
        <v>179</v>
      </c>
      <c r="D99" s="280" t="s">
        <v>179</v>
      </c>
      <c r="E99" s="301" t="s">
        <v>13</v>
      </c>
      <c r="F99" s="310"/>
      <c r="G99" s="293"/>
      <c r="H99" s="300"/>
      <c r="I99" s="300"/>
    </row>
    <row r="100" spans="1:9" ht="15" x14ac:dyDescent="0.25">
      <c r="A100" s="300"/>
      <c r="B100" s="280" t="s">
        <v>3</v>
      </c>
      <c r="C100" s="280" t="s">
        <v>4</v>
      </c>
      <c r="D100" s="280" t="s">
        <v>4</v>
      </c>
      <c r="E100" s="301" t="s">
        <v>9</v>
      </c>
      <c r="F100" s="310"/>
      <c r="G100" s="293"/>
      <c r="H100" s="300"/>
      <c r="I100" s="300"/>
    </row>
    <row r="101" spans="1:9" ht="15.75" thickBot="1" x14ac:dyDescent="0.3">
      <c r="A101" s="302"/>
      <c r="B101" s="282" t="str">
        <f>TEXT($H$3,"MMM")&amp;" "&amp;TEXT($H$3,"YYYY")</f>
        <v>Nov 2018</v>
      </c>
      <c r="C101" s="282" t="str">
        <f>TEXT($H$3,"YYYY")</f>
        <v>2018</v>
      </c>
      <c r="D101" s="283">
        <f>TEXT($H$3,"YYYY")-1</f>
        <v>2017</v>
      </c>
      <c r="E101" s="284" t="s">
        <v>6</v>
      </c>
      <c r="F101" s="284">
        <f>$F$15</f>
        <v>2017</v>
      </c>
      <c r="G101" s="295">
        <f>$G$15</f>
        <v>2016</v>
      </c>
      <c r="H101" s="295">
        <f>$H$15</f>
        <v>2015</v>
      </c>
      <c r="I101" s="295">
        <f>$I$15</f>
        <v>2014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578</v>
      </c>
      <c r="C103" s="249">
        <f>Data!BR32</f>
        <v>12177</v>
      </c>
      <c r="D103" s="249">
        <f>Data!BR38</f>
        <v>12376</v>
      </c>
      <c r="E103" s="286">
        <f t="shared" ref="E103:E106" si="8">IFERROR(IF(OR(AND(D103="",C103=""),AND(D103=0,C103=0)),"",
IF(OR(D103="",D103=0),1,
IF(OR(D103&lt;&gt;"",D103&lt;&gt;0),(C103-D103)/ABS(D103)))),-1)</f>
        <v>-1.6079508726567548E-2</v>
      </c>
      <c r="F103" s="366">
        <v>12791</v>
      </c>
      <c r="G103" s="249">
        <v>14410</v>
      </c>
      <c r="H103" s="249">
        <v>9505</v>
      </c>
      <c r="I103" s="249">
        <v>10571</v>
      </c>
    </row>
    <row r="104" spans="1:9" ht="14.25" x14ac:dyDescent="0.2">
      <c r="A104" s="248" t="s">
        <v>146</v>
      </c>
      <c r="B104" s="127">
        <f>Data!BQ20</f>
        <v>614867</v>
      </c>
      <c r="C104" s="249">
        <f>Data!BQ32</f>
        <v>11699161</v>
      </c>
      <c r="D104" s="249">
        <f>Data!BQ38</f>
        <v>11766157</v>
      </c>
      <c r="E104" s="286">
        <f t="shared" si="8"/>
        <v>-5.6939576787901095E-3</v>
      </c>
      <c r="F104" s="366">
        <v>11946344</v>
      </c>
      <c r="G104" s="249">
        <v>9230179</v>
      </c>
      <c r="H104" s="249">
        <v>5344460</v>
      </c>
      <c r="I104" s="249">
        <v>4834077</v>
      </c>
    </row>
    <row r="105" spans="1:9" ht="14.25" x14ac:dyDescent="0.2">
      <c r="A105" s="248" t="s">
        <v>119</v>
      </c>
      <c r="B105" s="127">
        <f>Data!BP20/1000000</f>
        <v>57172.761778289998</v>
      </c>
      <c r="C105" s="249">
        <f>Data!BP32/1000000</f>
        <v>1275878.0077175198</v>
      </c>
      <c r="D105" s="249">
        <f>Data!BP38/1000000</f>
        <v>1311085.2830314501</v>
      </c>
      <c r="E105" s="286">
        <f t="shared" si="8"/>
        <v>-2.6853535593447591E-2</v>
      </c>
      <c r="F105" s="366">
        <v>1329270</v>
      </c>
      <c r="G105" s="249">
        <v>1073119</v>
      </c>
      <c r="H105" s="249">
        <v>698663</v>
      </c>
      <c r="I105" s="249">
        <v>641235</v>
      </c>
    </row>
    <row r="106" spans="1:9" ht="14.25" x14ac:dyDescent="0.2">
      <c r="A106" s="248" t="s">
        <v>144</v>
      </c>
      <c r="B106" s="127">
        <f>Data!BP26</f>
        <v>848474</v>
      </c>
      <c r="C106" s="249">
        <f>B106</f>
        <v>848474</v>
      </c>
      <c r="D106" s="249">
        <f>Data!BP44</f>
        <v>1025641</v>
      </c>
      <c r="E106" s="286">
        <f t="shared" si="8"/>
        <v>-0.17273782931844572</v>
      </c>
      <c r="F106" s="366">
        <v>1021723</v>
      </c>
      <c r="G106" s="249">
        <v>802030</v>
      </c>
      <c r="H106" s="249">
        <v>621382</v>
      </c>
      <c r="I106" s="249">
        <v>418464</v>
      </c>
    </row>
    <row r="107" spans="1:9" ht="14.25" x14ac:dyDescent="0.2">
      <c r="A107" s="248"/>
      <c r="B107" s="127"/>
      <c r="C107" s="249"/>
      <c r="D107" s="249"/>
      <c r="E107" s="248"/>
      <c r="F107" s="366"/>
      <c r="G107" s="249"/>
      <c r="H107" s="249"/>
      <c r="I107" s="249"/>
    </row>
    <row r="108" spans="1:9" ht="15" x14ac:dyDescent="0.25">
      <c r="A108" s="288" t="s">
        <v>15</v>
      </c>
      <c r="B108" s="127"/>
      <c r="C108" s="249"/>
      <c r="D108" s="249"/>
      <c r="E108" s="248"/>
      <c r="F108" s="366"/>
      <c r="G108" s="249"/>
      <c r="H108" s="249"/>
      <c r="I108" s="249"/>
    </row>
    <row r="109" spans="1:9" ht="14.25" x14ac:dyDescent="0.2">
      <c r="A109" s="248" t="s">
        <v>117</v>
      </c>
      <c r="B109" s="127">
        <f>Data!BR23</f>
        <v>147</v>
      </c>
      <c r="C109" s="127">
        <f>Data!BR35</f>
        <v>934</v>
      </c>
      <c r="D109" s="127">
        <f>Data!BR41</f>
        <v>688</v>
      </c>
      <c r="E109" s="286">
        <f t="shared" ref="E109:E112" si="9">IFERROR(IF(OR(AND(D109="",C109=""),AND(D109=0,C109=0)),"",
IF(OR(D109="",D109=0),1,
IF(OR(D109&lt;&gt;"",D109&lt;&gt;0),(C109-D109)/ABS(D109)))),-1)</f>
        <v>0.35755813953488375</v>
      </c>
      <c r="F109" s="127">
        <v>809</v>
      </c>
      <c r="G109" s="127">
        <v>825</v>
      </c>
      <c r="H109" s="127">
        <v>1013</v>
      </c>
      <c r="I109" s="127">
        <v>683</v>
      </c>
    </row>
    <row r="110" spans="1:9" ht="14.25" x14ac:dyDescent="0.2">
      <c r="A110" s="248" t="s">
        <v>146</v>
      </c>
      <c r="B110" s="127">
        <f>Data!BQ23</f>
        <v>63736</v>
      </c>
      <c r="C110" s="127">
        <f>Data!BQ35</f>
        <v>411827</v>
      </c>
      <c r="D110" s="127">
        <f>Data!BQ41</f>
        <v>243904</v>
      </c>
      <c r="E110" s="286">
        <f t="shared" si="9"/>
        <v>0.68847989372868013</v>
      </c>
      <c r="F110" s="127">
        <v>307322</v>
      </c>
      <c r="G110" s="127">
        <v>205539</v>
      </c>
      <c r="H110" s="127">
        <v>348297</v>
      </c>
      <c r="I110" s="127">
        <v>197474</v>
      </c>
    </row>
    <row r="111" spans="1:9" ht="14.25" x14ac:dyDescent="0.2">
      <c r="A111" s="248" t="s">
        <v>196</v>
      </c>
      <c r="B111" s="127">
        <f>Data!BP23/1000000</f>
        <v>6264.3297145799997</v>
      </c>
      <c r="C111" s="127">
        <f>Data!BP35/1000000</f>
        <v>41240.919751859998</v>
      </c>
      <c r="D111" s="127">
        <f>Data!BP41/1000000</f>
        <v>22142.250442779998</v>
      </c>
      <c r="E111" s="286">
        <f t="shared" si="9"/>
        <v>0.86254418259945076</v>
      </c>
      <c r="F111" s="127">
        <v>29060</v>
      </c>
      <c r="G111" s="127">
        <v>21987</v>
      </c>
      <c r="H111" s="127">
        <v>37202</v>
      </c>
      <c r="I111" s="127">
        <v>15321</v>
      </c>
    </row>
    <row r="112" spans="1:9" ht="15" thickBot="1" x14ac:dyDescent="0.25">
      <c r="A112" s="289" t="s">
        <v>144</v>
      </c>
      <c r="B112" s="128">
        <f>Data!BP29</f>
        <v>126060</v>
      </c>
      <c r="C112" s="128">
        <f>B112</f>
        <v>126060</v>
      </c>
      <c r="D112" s="128">
        <f>Data!BP47</f>
        <v>84661</v>
      </c>
      <c r="E112" s="291">
        <f t="shared" si="9"/>
        <v>0.48899729509455359</v>
      </c>
      <c r="F112" s="128">
        <v>97761</v>
      </c>
      <c r="G112" s="128">
        <v>36955</v>
      </c>
      <c r="H112" s="128">
        <v>75609</v>
      </c>
      <c r="I112" s="128">
        <v>34866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300"/>
      <c r="B117" s="280" t="s">
        <v>1</v>
      </c>
      <c r="C117" s="280" t="s">
        <v>179</v>
      </c>
      <c r="D117" s="280" t="s">
        <v>179</v>
      </c>
      <c r="E117" s="301" t="s">
        <v>13</v>
      </c>
      <c r="F117" s="310"/>
      <c r="G117" s="293"/>
      <c r="H117" s="300"/>
      <c r="I117" s="300"/>
    </row>
    <row r="118" spans="1:12" ht="15" x14ac:dyDescent="0.25">
      <c r="A118" s="300"/>
      <c r="B118" s="280" t="s">
        <v>3</v>
      </c>
      <c r="C118" s="280" t="s">
        <v>4</v>
      </c>
      <c r="D118" s="280" t="s">
        <v>4</v>
      </c>
      <c r="E118" s="301" t="s">
        <v>9</v>
      </c>
      <c r="F118" s="310"/>
      <c r="G118" s="293"/>
      <c r="H118" s="300"/>
      <c r="I118" s="300"/>
    </row>
    <row r="119" spans="1:12" ht="15.75" thickBot="1" x14ac:dyDescent="0.3">
      <c r="A119" s="302"/>
      <c r="B119" s="282" t="str">
        <f>TEXT($H$3,"MMM")&amp;" "&amp;TEXT($H$3,"YYYY")</f>
        <v>Nov 2018</v>
      </c>
      <c r="C119" s="282" t="str">
        <f>TEXT($H$3,"YYYY")</f>
        <v>2018</v>
      </c>
      <c r="D119" s="282">
        <f>TEXT($H$3,"YYYY")-1</f>
        <v>2017</v>
      </c>
      <c r="E119" s="284" t="s">
        <v>6</v>
      </c>
      <c r="F119" s="284">
        <f>TEXT($H$3,"YYYY")-1</f>
        <v>2017</v>
      </c>
      <c r="G119" s="295">
        <f>TEXT($H$3,"YYYY")-2</f>
        <v>2016</v>
      </c>
      <c r="H119" s="295">
        <f>TEXT($H$3,"YYYY")-3</f>
        <v>2015</v>
      </c>
      <c r="I119" s="295">
        <f>TEXT($H$3,"YYYY")-4</f>
        <v>2014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</f>
        <v>4561</v>
      </c>
      <c r="C121" s="249">
        <f>Data!BR60</f>
        <v>47289</v>
      </c>
      <c r="D121" s="249">
        <f>Data!BR66</f>
        <v>59154</v>
      </c>
      <c r="E121" s="286">
        <f t="shared" ref="E121:E123" si="10">IFERROR(IF(OR(AND(D121="",C121=""),AND(D121=0,C121=0)),"",
IF(OR(D121="",D121=0),1,
IF(OR(D121&lt;&gt;"",D121&lt;&gt;0),(C121-D121)/ABS(D121)))),-1)</f>
        <v>-0.20057815194238768</v>
      </c>
      <c r="F121" s="366">
        <v>65590</v>
      </c>
      <c r="G121" s="249">
        <v>66920</v>
      </c>
      <c r="H121" s="249">
        <v>57891</v>
      </c>
      <c r="I121" s="249">
        <v>43500</v>
      </c>
      <c r="J121" s="62"/>
    </row>
    <row r="122" spans="1:12" ht="14.25" x14ac:dyDescent="0.2">
      <c r="A122" s="248" t="s">
        <v>146</v>
      </c>
      <c r="B122" s="249">
        <f>Data!BQ50</f>
        <v>2077176</v>
      </c>
      <c r="C122" s="249">
        <f>Data!BQ60</f>
        <v>37273265</v>
      </c>
      <c r="D122" s="249">
        <f>Data!BQ66</f>
        <v>41401950</v>
      </c>
      <c r="E122" s="286">
        <f t="shared" si="10"/>
        <v>-9.9721993770824802E-2</v>
      </c>
      <c r="F122" s="366">
        <v>47794037</v>
      </c>
      <c r="G122" s="249">
        <v>34293431</v>
      </c>
      <c r="H122" s="249">
        <v>33917069</v>
      </c>
      <c r="I122" s="249">
        <v>33946042</v>
      </c>
      <c r="J122" s="62"/>
    </row>
    <row r="123" spans="1:12" ht="14.25" x14ac:dyDescent="0.2">
      <c r="A123" s="248" t="s">
        <v>119</v>
      </c>
      <c r="B123" s="249">
        <f>Data!BP50/1000000</f>
        <v>29892.128245900003</v>
      </c>
      <c r="C123" s="249">
        <f>Data!BP60/1000000</f>
        <v>512949.38477644097</v>
      </c>
      <c r="D123" s="249">
        <f>Data!BP66/1000000</f>
        <v>566301.5147251999</v>
      </c>
      <c r="E123" s="286">
        <f t="shared" si="10"/>
        <v>-9.4211526124291345E-2</v>
      </c>
      <c r="F123" s="366">
        <v>656092</v>
      </c>
      <c r="G123" s="249">
        <v>522169</v>
      </c>
      <c r="H123" s="249">
        <v>446203</v>
      </c>
      <c r="I123" s="249">
        <v>388071</v>
      </c>
      <c r="J123" s="62"/>
    </row>
    <row r="124" spans="1:12" ht="14.25" x14ac:dyDescent="0.2">
      <c r="A124" s="248" t="s">
        <v>144</v>
      </c>
      <c r="B124" s="249">
        <f>VLOOKUP("Future",Data!$BP$55:$BQ$57,2,FALSE)</f>
        <v>1661553</v>
      </c>
      <c r="C124" s="249">
        <f>B124</f>
        <v>1661553</v>
      </c>
      <c r="D124" s="249">
        <f>VLOOKUP("Future",Data!$BP$71:$BQ$73,2,FALSE)</f>
        <v>1935672</v>
      </c>
      <c r="E124" s="286">
        <f>IFERROR(IF(OR(AND(D124="",C124=""),AND(D124=0,C124=0)),"",
IF(OR(D124="",D124=0),1,
IF(OR(D124&lt;&gt;"",D124&lt;&gt;0),(C124-D124)/ABS(D124)))),-1)</f>
        <v>-0.14161438508177004</v>
      </c>
      <c r="F124" s="366">
        <v>2066426</v>
      </c>
      <c r="G124" s="249">
        <v>1090978</v>
      </c>
      <c r="H124" s="249">
        <v>1414841</v>
      </c>
      <c r="I124" s="249">
        <v>1705921</v>
      </c>
      <c r="J124" s="62"/>
    </row>
    <row r="125" spans="1:12" ht="14.25" x14ac:dyDescent="0.2">
      <c r="A125" s="248"/>
      <c r="B125" s="315"/>
      <c r="C125" s="315"/>
      <c r="D125" s="315"/>
      <c r="E125" s="248"/>
      <c r="F125" s="366"/>
      <c r="G125" s="249"/>
      <c r="H125" s="315"/>
      <c r="I125" s="315"/>
      <c r="J125" s="107"/>
      <c r="K125" s="172"/>
      <c r="L125" s="172"/>
    </row>
    <row r="126" spans="1:12" ht="15" x14ac:dyDescent="0.25">
      <c r="A126" s="288" t="s">
        <v>15</v>
      </c>
      <c r="B126" s="248"/>
      <c r="C126" s="315"/>
      <c r="D126" s="315"/>
      <c r="E126" s="288"/>
      <c r="F126" s="367"/>
      <c r="G126" s="249"/>
      <c r="H126" s="315"/>
      <c r="I126" s="316"/>
      <c r="J126" s="107"/>
      <c r="K126" s="172"/>
      <c r="L126" s="172"/>
    </row>
    <row r="127" spans="1:12" ht="14.25" x14ac:dyDescent="0.2">
      <c r="A127" s="248" t="s">
        <v>117</v>
      </c>
      <c r="B127" s="249">
        <f>Data!BR53</f>
        <v>263</v>
      </c>
      <c r="C127" s="249">
        <f>Data!BR63</f>
        <v>3354</v>
      </c>
      <c r="D127" s="249">
        <f>Data!BR69</f>
        <v>3794</v>
      </c>
      <c r="E127" s="286">
        <f t="shared" ref="E127:E129" si="11">IFERROR(IF(OR(AND(D127="",C127=""),AND(D127=0,C127=0)),"",
IF(OR(D127="",D127=0),1,
IF(OR(D127&lt;&gt;"",D127&lt;&gt;0),(C127-D127)/ABS(D127)))),-1)</f>
        <v>-0.11597258829731154</v>
      </c>
      <c r="F127" s="366">
        <v>4441</v>
      </c>
      <c r="G127" s="249">
        <v>3271</v>
      </c>
      <c r="H127" s="249">
        <v>2622</v>
      </c>
      <c r="I127" s="249">
        <v>3439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</f>
        <v>2093990</v>
      </c>
      <c r="C128" s="249">
        <f>Data!BQ63</f>
        <v>30563065</v>
      </c>
      <c r="D128" s="249">
        <f>Data!BQ69</f>
        <v>15461525</v>
      </c>
      <c r="E128" s="286">
        <f t="shared" si="11"/>
        <v>0.97671736778875307</v>
      </c>
      <c r="F128" s="366">
        <v>20574664</v>
      </c>
      <c r="G128" s="249">
        <v>14030889</v>
      </c>
      <c r="H128" s="249">
        <v>11251621</v>
      </c>
      <c r="I128" s="249">
        <v>10687313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</f>
        <v>29836.162393499999</v>
      </c>
      <c r="C129" s="249">
        <f>Data!BP63/1000000</f>
        <v>509056.20590272499</v>
      </c>
      <c r="D129" s="249">
        <f>Data!BP69/1000000</f>
        <v>218499.70389820001</v>
      </c>
      <c r="E129" s="286">
        <f t="shared" si="11"/>
        <v>1.3297798432710763</v>
      </c>
      <c r="F129" s="366">
        <v>290641</v>
      </c>
      <c r="G129" s="249">
        <v>212036</v>
      </c>
      <c r="H129" s="249">
        <v>157773</v>
      </c>
      <c r="I129" s="249">
        <v>128124</v>
      </c>
      <c r="J129" s="133"/>
      <c r="K129" s="172"/>
      <c r="L129" s="172"/>
    </row>
    <row r="130" spans="1:12" ht="14.25" x14ac:dyDescent="0.2">
      <c r="A130" s="248" t="s">
        <v>144</v>
      </c>
      <c r="B130" s="249">
        <f>VLOOKUP("Option",Data!$BP$55:$BQ$57,2,FALSE)</f>
        <v>8830916</v>
      </c>
      <c r="C130" s="249">
        <f>MarketProfile!B130</f>
        <v>8830916</v>
      </c>
      <c r="D130" s="249">
        <f>VLOOKUP("Option",Data!$BP$71:$BQ$73,2,FALSE)</f>
        <v>4656660</v>
      </c>
      <c r="E130" s="286">
        <f>IFERROR(IF(OR(AND(D130="",C130=""),AND(D130=0,C130=0)),"",
IF(OR(D130="",D130=0),1,
IF(OR(D130&lt;&gt;"",D130&lt;&gt;0),(C130-D130)/ABS(D130)))),-1)</f>
        <v>0.89640557824706979</v>
      </c>
      <c r="F130" s="366">
        <v>4526266</v>
      </c>
      <c r="G130" s="249">
        <v>1240499</v>
      </c>
      <c r="H130" s="249">
        <v>1917456</v>
      </c>
      <c r="I130" s="249">
        <v>1839022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300"/>
      <c r="B134" s="280" t="s">
        <v>1</v>
      </c>
      <c r="C134" s="280" t="s">
        <v>179</v>
      </c>
      <c r="D134" s="280" t="s">
        <v>179</v>
      </c>
      <c r="E134" s="301" t="s">
        <v>13</v>
      </c>
      <c r="F134" s="310"/>
      <c r="G134" s="293"/>
      <c r="H134" s="300"/>
      <c r="I134" s="300"/>
    </row>
    <row r="135" spans="1:12" ht="15" x14ac:dyDescent="0.25">
      <c r="A135" s="300"/>
      <c r="B135" s="280" t="s">
        <v>3</v>
      </c>
      <c r="C135" s="280" t="s">
        <v>4</v>
      </c>
      <c r="D135" s="280" t="s">
        <v>4</v>
      </c>
      <c r="E135" s="301" t="s">
        <v>9</v>
      </c>
      <c r="F135" s="310"/>
      <c r="G135" s="293"/>
      <c r="H135" s="300"/>
      <c r="I135" s="300"/>
    </row>
    <row r="136" spans="1:12" ht="15.75" thickBot="1" x14ac:dyDescent="0.3">
      <c r="A136" s="302"/>
      <c r="B136" s="282" t="str">
        <f>TEXT($H$3,"MMM")&amp;" "&amp;TEXT($H$3,"YYYY")</f>
        <v>Nov 2018</v>
      </c>
      <c r="C136" s="282" t="str">
        <f>TEXT($H$3,"YYYY")</f>
        <v>2018</v>
      </c>
      <c r="D136" s="282">
        <f>TEXT($H$3,"YYYY")-1</f>
        <v>2017</v>
      </c>
      <c r="E136" s="284" t="s">
        <v>6</v>
      </c>
      <c r="F136" s="284">
        <f>TEXT($H$3,"YYYY")-1</f>
        <v>2017</v>
      </c>
      <c r="G136" s="295">
        <f>TEXT($H$3,"YYYY")-2</f>
        <v>2016</v>
      </c>
      <c r="H136" s="295">
        <f>TEXT($H$3,"YYYY")-3</f>
        <v>2015</v>
      </c>
      <c r="I136" s="295">
        <f>TEXT($H$3,"YYYY")-4</f>
        <v>2014</v>
      </c>
    </row>
    <row r="137" spans="1:12" ht="15" x14ac:dyDescent="0.25">
      <c r="A137" s="288" t="s">
        <v>14</v>
      </c>
      <c r="B137" s="317"/>
      <c r="C137" s="317"/>
      <c r="D137" s="317"/>
      <c r="E137" s="312"/>
      <c r="F137" s="312"/>
      <c r="G137" s="318"/>
      <c r="H137" s="318"/>
      <c r="I137" s="318"/>
    </row>
    <row r="138" spans="1:12" ht="14.25" x14ac:dyDescent="0.2">
      <c r="A138" s="248" t="s">
        <v>117</v>
      </c>
      <c r="B138" s="249">
        <f>SUMIFS(Data!$AC:$AC,Data!$AE:$AE,"1")</f>
        <v>44668</v>
      </c>
      <c r="C138" s="249">
        <f>Data!BR76</f>
        <v>365572</v>
      </c>
      <c r="D138" s="249">
        <f>Data!BR82</f>
        <v>323086</v>
      </c>
      <c r="E138" s="286">
        <f>IFERROR(IF(OR(AND(D138="",C138=""),AND(D138=0,C138=0)),"",
IF(OR(D138="",D138=0),1,
IF(OR(D138&lt;&gt;"",D138&lt;&gt;0),(C138-D138)/ABS(D138)))),-1)</f>
        <v>0.13150059117386703</v>
      </c>
      <c r="F138" s="366">
        <v>345698</v>
      </c>
      <c r="G138" s="249">
        <v>343265</v>
      </c>
      <c r="H138" s="249">
        <v>319935</v>
      </c>
      <c r="I138" s="249">
        <v>277392</v>
      </c>
    </row>
    <row r="139" spans="1:12" ht="14.25" x14ac:dyDescent="0.2">
      <c r="A139" s="248" t="s">
        <v>142</v>
      </c>
      <c r="B139" s="249">
        <f>SUMIFS(Data!$AB:$AB,Data!$AE:$AE,"1")/1000</f>
        <v>381.899</v>
      </c>
      <c r="C139" s="249">
        <f>Data!BQ76</f>
        <v>2836047</v>
      </c>
      <c r="D139" s="249">
        <f>Data!BQ82</f>
        <v>2541852</v>
      </c>
      <c r="E139" s="286">
        <f t="shared" ref="E139:E141" si="12">IFERROR(IF(OR(AND(D139="",C139=""),AND(D139=0,C139=0)),"",
IF(OR(D139="",D139=0),1,
IF(OR(D139&lt;&gt;"",D139&lt;&gt;0),(C139-D139)/ABS(D139)))),-1)</f>
        <v>0.11574041289579409</v>
      </c>
      <c r="F139" s="366">
        <f>2718489/1000</f>
        <v>2718.489</v>
      </c>
      <c r="G139" s="249">
        <v>2955</v>
      </c>
      <c r="H139" s="249">
        <v>2956</v>
      </c>
      <c r="I139" s="249">
        <v>2395</v>
      </c>
    </row>
    <row r="140" spans="1:12" ht="14.25" x14ac:dyDescent="0.2">
      <c r="A140" s="248" t="s">
        <v>119</v>
      </c>
      <c r="B140" s="249">
        <f>SUMIFS(Data!$AA:$AA,Data!$AE:$AE,"1")/1000000</f>
        <v>88310.73853123498</v>
      </c>
      <c r="C140" s="249">
        <f>Data!BP76/1000000</f>
        <v>611118.49969514995</v>
      </c>
      <c r="D140" s="249">
        <f>Data!BP82/1000000</f>
        <v>531785.25138551835</v>
      </c>
      <c r="E140" s="286">
        <f t="shared" si="12"/>
        <v>0.14918286677363843</v>
      </c>
      <c r="F140" s="366">
        <v>566037</v>
      </c>
      <c r="G140" s="249">
        <v>943312</v>
      </c>
      <c r="H140" s="249">
        <v>736984</v>
      </c>
      <c r="I140" s="249">
        <v>487818</v>
      </c>
    </row>
    <row r="141" spans="1:12" ht="14.25" x14ac:dyDescent="0.2">
      <c r="A141" s="248" t="s">
        <v>144</v>
      </c>
      <c r="B141" s="249">
        <f>SUMIFS(Data!$AK:$AK,Data!$AL:$AL,"1")</f>
        <v>121959</v>
      </c>
      <c r="C141" s="249">
        <f>B141</f>
        <v>121959</v>
      </c>
      <c r="D141" s="249">
        <f>Data!BP88</f>
        <v>128092</v>
      </c>
      <c r="E141" s="286">
        <f t="shared" si="12"/>
        <v>-4.787964900227961E-2</v>
      </c>
      <c r="F141" s="366">
        <v>117783</v>
      </c>
      <c r="G141" s="249">
        <v>65553</v>
      </c>
      <c r="H141" s="249">
        <v>89089</v>
      </c>
      <c r="I141" s="249">
        <v>75388</v>
      </c>
    </row>
    <row r="142" spans="1:12" ht="14.25" x14ac:dyDescent="0.2">
      <c r="A142" s="248"/>
      <c r="B142" s="249"/>
      <c r="C142" s="249"/>
      <c r="D142" s="249"/>
      <c r="E142" s="248"/>
      <c r="F142" s="366"/>
      <c r="G142" s="249"/>
      <c r="H142" s="249"/>
      <c r="I142" s="249"/>
    </row>
    <row r="143" spans="1:12" ht="15" x14ac:dyDescent="0.25">
      <c r="A143" s="288" t="s">
        <v>15</v>
      </c>
      <c r="B143" s="249"/>
      <c r="C143" s="249"/>
      <c r="D143" s="249"/>
      <c r="E143" s="248"/>
      <c r="F143" s="366"/>
      <c r="G143" s="249"/>
      <c r="H143" s="249"/>
      <c r="I143" s="249"/>
    </row>
    <row r="144" spans="1:12" ht="14.25" x14ac:dyDescent="0.2">
      <c r="A144" s="248" t="s">
        <v>117</v>
      </c>
      <c r="B144" s="249">
        <f>SUMIFS(Data!$AC:$AC,Data!$AE:$AE,"0")</f>
        <v>4245</v>
      </c>
      <c r="C144" s="249">
        <f>Data!BR79</f>
        <v>28555</v>
      </c>
      <c r="D144" s="249">
        <f>Data!BR85</f>
        <v>28236</v>
      </c>
      <c r="E144" s="286">
        <f>IFERROR(IF(OR(AND(D144="",C144=""),AND(D144=0,C144=0)),"",
IF(OR(D144="",D144=0),1,
IF(OR(D144&lt;&gt;"",D144&lt;&gt;0),(C144-D144)/ABS(D144)))),-1)</f>
        <v>1.1297634225811022E-2</v>
      </c>
      <c r="F144" s="366">
        <v>30024</v>
      </c>
      <c r="G144" s="249">
        <v>43815</v>
      </c>
      <c r="H144" s="249">
        <v>42966</v>
      </c>
      <c r="I144" s="249">
        <v>31365</v>
      </c>
    </row>
    <row r="145" spans="1:10" ht="14.25" x14ac:dyDescent="0.2">
      <c r="A145" s="248" t="s">
        <v>142</v>
      </c>
      <c r="B145" s="249">
        <f>SUMIFS(Data!$AB:$AB,Data!$AE:$AE,"0")/1000</f>
        <v>40.113999999999997</v>
      </c>
      <c r="C145" s="249">
        <f>Data!BQ79</f>
        <v>297832</v>
      </c>
      <c r="D145" s="249">
        <f>Data!BQ85</f>
        <v>274121</v>
      </c>
      <c r="E145" s="286">
        <f t="shared" ref="E145:E146" si="13">IFERROR(IF(OR(AND(D145="",C145=""),AND(D145=0,C145=0)),"",
IF(OR(D145="",D145=0),1,
IF(OR(D145&lt;&gt;"",D145&lt;&gt;0),(C145-D145)/ABS(D145)))),-1)</f>
        <v>8.6498298196781717E-2</v>
      </c>
      <c r="F145" s="366">
        <v>291</v>
      </c>
      <c r="G145" s="249">
        <v>471</v>
      </c>
      <c r="H145" s="249">
        <v>544</v>
      </c>
      <c r="I145" s="249">
        <v>335</v>
      </c>
    </row>
    <row r="146" spans="1:10" ht="14.25" x14ac:dyDescent="0.2">
      <c r="A146" s="248" t="s">
        <v>119</v>
      </c>
      <c r="B146" s="249">
        <f>SUMIFS(Data!$AA:$AA,Data!$AE:$AE,"0")/1000000</f>
        <v>400.57461771998999</v>
      </c>
      <c r="C146" s="249">
        <f>Data!BP79/1000000</f>
        <v>2612.39493325998</v>
      </c>
      <c r="D146" s="249">
        <f>Data!BP85/1000000</f>
        <v>3039.6887051499903</v>
      </c>
      <c r="E146" s="286">
        <f t="shared" si="13"/>
        <v>-0.14057155628011123</v>
      </c>
      <c r="F146" s="366">
        <v>3233</v>
      </c>
      <c r="G146" s="249">
        <v>14527</v>
      </c>
      <c r="H146" s="249">
        <v>12378</v>
      </c>
      <c r="I146" s="249">
        <v>2724</v>
      </c>
    </row>
    <row r="147" spans="1:10" ht="14.25" x14ac:dyDescent="0.2">
      <c r="A147" s="248" t="s">
        <v>144</v>
      </c>
      <c r="B147" s="249">
        <f>SUMIFS(Data!$AK:$AK,Data!$AL:$AL,"0")</f>
        <v>54379</v>
      </c>
      <c r="C147" s="249">
        <f>B147</f>
        <v>54379</v>
      </c>
      <c r="D147" s="249">
        <f>Data!BP91</f>
        <v>47200</v>
      </c>
      <c r="E147" s="286">
        <f>IFERROR(IF(OR(AND(D147="",C147=""),AND(D147=0,C147=0)),"",
IF(OR(D147="",D147=0),1,
IF(OR(D147&lt;&gt;"",D147&lt;&gt;0),(C147-D147)/ABS(D147)))),-1)</f>
        <v>0.15209745762711865</v>
      </c>
      <c r="F147" s="366">
        <v>50578</v>
      </c>
      <c r="G147" s="249">
        <v>36968</v>
      </c>
      <c r="H147" s="249">
        <v>87294</v>
      </c>
      <c r="I147" s="249">
        <v>57806</v>
      </c>
    </row>
    <row r="148" spans="1:10" x14ac:dyDescent="0.2">
      <c r="B148" s="3"/>
    </row>
    <row r="149" spans="1:10" ht="12.75" customHeight="1" x14ac:dyDescent="0.2">
      <c r="B149" s="3"/>
      <c r="F149" s="377" t="s">
        <v>200</v>
      </c>
      <c r="G149" s="377"/>
      <c r="H149" s="377"/>
      <c r="I149" s="125"/>
    </row>
    <row r="150" spans="1:10" ht="12.75" customHeight="1" x14ac:dyDescent="0.2">
      <c r="B150" s="3"/>
      <c r="F150" s="377"/>
      <c r="G150" s="377"/>
      <c r="H150" s="377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10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5"/>
      <c r="B153" s="282" t="str">
        <f>TEXT($H$3,"MMM")&amp;" "&amp;TEXT($H$3,"YYYY")</f>
        <v>Nov 2018</v>
      </c>
      <c r="C153" s="282" t="str">
        <f>TEXT(DATE(2000,TEXT(H3,"M")-1,1),"mmm")&amp; " "&amp; TEXT(H3,"YYYY")</f>
        <v>Oct 2018</v>
      </c>
      <c r="D153" s="284" t="s">
        <v>121</v>
      </c>
      <c r="E153" s="282"/>
      <c r="F153" s="282"/>
      <c r="G153" s="282" t="str">
        <f>TEXT($H$3,"MMM")&amp;" "&amp;TEXT($H$3,"YYYY")</f>
        <v>Nov 2018</v>
      </c>
      <c r="H153" s="282" t="str">
        <f>TEXT($H$3,"MMM")&amp;" "&amp;TEXT($H$3,"YYYY")-1</f>
        <v>Nov 2017</v>
      </c>
      <c r="I153" s="284" t="s">
        <v>121</v>
      </c>
      <c r="J153" s="161"/>
    </row>
    <row r="154" spans="1:10" ht="14.25" x14ac:dyDescent="0.2">
      <c r="A154" s="248" t="s">
        <v>122</v>
      </c>
      <c r="B154" s="322">
        <f>VLOOKUP("ABuy",Data!$J$1:$M$5,4,FALSE)/1000000</f>
        <v>204894.2477522493</v>
      </c>
      <c r="C154" s="322">
        <f>VLOOKUP("ABuy",Data!$J$7:$M$11,4,FALSE)/1000000</f>
        <v>230238.02031245708</v>
      </c>
      <c r="D154" s="186">
        <f>((B154/C154)-1)</f>
        <v>-0.11007640061278168</v>
      </c>
      <c r="E154" s="322"/>
      <c r="F154" s="322"/>
      <c r="G154" s="322">
        <f>VLOOKUP("Abuy",Data!$J$13:$M$17,4,FALSE)/1000000</f>
        <v>186282.62796089501</v>
      </c>
      <c r="H154" s="322">
        <f>VLOOKUP("Abuy",Data!$J$19:$M$23,4,FALSE)/1000000</f>
        <v>199542.42426217999</v>
      </c>
      <c r="I154" s="200">
        <f>((G154/H154)-1)</f>
        <v>-6.6451013363769018E-2</v>
      </c>
      <c r="J154" s="161"/>
    </row>
    <row r="155" spans="1:10" ht="14.25" x14ac:dyDescent="0.2">
      <c r="A155" s="248" t="s">
        <v>123</v>
      </c>
      <c r="B155" s="322">
        <f>VLOOKUP("ASell",Data!$J$1:$M$5,4,FALSE)/1000000</f>
        <v>188427.40891216719</v>
      </c>
      <c r="C155" s="322">
        <f>VLOOKUP("Asell",Data!$J$7:$M$11,4,FALSE)/1000000</f>
        <v>241865.75026038068</v>
      </c>
      <c r="D155" s="200">
        <f t="shared" ref="D155:D157" si="14">((B155/C155)-1)</f>
        <v>-0.2209421602301459</v>
      </c>
      <c r="E155" s="322"/>
      <c r="F155" s="322"/>
      <c r="G155" s="322">
        <f>VLOOKUP("Asell",Data!$J$13:$M$17,4,FALSE)/1000000</f>
        <v>178637.48374348998</v>
      </c>
      <c r="H155" s="322">
        <f>VLOOKUP("Asell",Data!$J$19:$M$23,4,FALSE)/1000000</f>
        <v>209145.38669617</v>
      </c>
      <c r="I155" s="200">
        <f t="shared" ref="I155:I157" si="15">((G155/H155)-1)</f>
        <v>-0.14586935640612286</v>
      </c>
      <c r="J155" s="161"/>
    </row>
    <row r="156" spans="1:10" ht="14.25" x14ac:dyDescent="0.2">
      <c r="A156" s="248" t="s">
        <v>124</v>
      </c>
      <c r="B156" s="322">
        <f>VLOOKUP("PBuy",Data!$J$1:$M$5,4,FALSE)/1000000</f>
        <v>261095.31977477929</v>
      </c>
      <c r="C156" s="322">
        <f>VLOOKUP("Pbuy",Data!$J$7:$M$11,4,FALSE)/1000000</f>
        <v>251263.69475523767</v>
      </c>
      <c r="D156" s="200">
        <f t="shared" si="14"/>
        <v>3.9128713080172073E-2</v>
      </c>
      <c r="E156" s="322"/>
      <c r="F156" s="322"/>
      <c r="G156" s="322">
        <f>VLOOKUP("Pbuy",Data!$J$13:$M$17,4,FALSE)/1000000</f>
        <v>252780.74082815001</v>
      </c>
      <c r="H156" s="322">
        <f>VLOOKUP("Pbuy",Data!$J$19:$M$23,4,FALSE)/1000000</f>
        <v>226676.85858524998</v>
      </c>
      <c r="I156" s="200">
        <f t="shared" si="15"/>
        <v>0.11515900831616088</v>
      </c>
      <c r="J156" s="161"/>
    </row>
    <row r="157" spans="1:10" ht="14.25" x14ac:dyDescent="0.2">
      <c r="A157" s="248" t="s">
        <v>125</v>
      </c>
      <c r="B157" s="322">
        <f>VLOOKUP("PSell",Data!$J$1:$M$5,4,FALSE)/1000000</f>
        <v>277562.15861486143</v>
      </c>
      <c r="C157" s="322">
        <f>VLOOKUP("Psell",Data!$J$7:$M$11,4,FALSE)/1000000</f>
        <v>239635.9648073141</v>
      </c>
      <c r="D157" s="200">
        <f t="shared" si="14"/>
        <v>0.15826586730436287</v>
      </c>
      <c r="E157" s="322"/>
      <c r="F157" s="322"/>
      <c r="G157" s="322">
        <f>VLOOKUP("Psell",Data!$J$13:$M$17,4,FALSE)/1000000</f>
        <v>260425.88504555501</v>
      </c>
      <c r="H157" s="322">
        <f>VLOOKUP("Psell",Data!$J$19:$M$23,4,FALSE)/1000000</f>
        <v>217073.89615126001</v>
      </c>
      <c r="I157" s="200">
        <f t="shared" si="15"/>
        <v>0.19971074211561013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5"/>
      <c r="B160" s="284" t="s">
        <v>127</v>
      </c>
      <c r="C160" s="284" t="s">
        <v>4</v>
      </c>
      <c r="D160" s="389" t="s">
        <v>128</v>
      </c>
      <c r="E160" s="389"/>
      <c r="F160" s="284" t="s">
        <v>129</v>
      </c>
      <c r="G160" s="385" t="s">
        <v>130</v>
      </c>
      <c r="H160" s="385"/>
      <c r="I160" s="284" t="s">
        <v>28</v>
      </c>
      <c r="J160" s="161"/>
    </row>
    <row r="161" spans="1:10" ht="15" x14ac:dyDescent="0.25">
      <c r="A161" s="288"/>
      <c r="B161" s="312"/>
      <c r="C161" s="312"/>
      <c r="D161" s="312"/>
      <c r="E161" s="312"/>
      <c r="F161" s="312"/>
      <c r="G161" s="312"/>
      <c r="H161" s="248"/>
      <c r="I161" s="312"/>
      <c r="J161" s="161"/>
    </row>
    <row r="162" spans="1:10" ht="14.25" x14ac:dyDescent="0.2">
      <c r="A162" s="248" t="s">
        <v>117</v>
      </c>
      <c r="B162" s="206">
        <v>667996</v>
      </c>
      <c r="C162" s="335">
        <v>42349</v>
      </c>
      <c r="D162" s="388">
        <v>1959547</v>
      </c>
      <c r="E162" s="388"/>
      <c r="F162" s="335">
        <v>42349</v>
      </c>
      <c r="G162" s="388">
        <v>7331360</v>
      </c>
      <c r="H162" s="388"/>
      <c r="I162" s="198" t="s">
        <v>534</v>
      </c>
    </row>
    <row r="163" spans="1:10" ht="14.25" x14ac:dyDescent="0.2">
      <c r="A163" s="248" t="s">
        <v>523</v>
      </c>
      <c r="B163" s="368">
        <v>1391491</v>
      </c>
      <c r="C163" s="374">
        <v>43012</v>
      </c>
      <c r="D163" s="388">
        <f>2513652909/1000000</f>
        <v>2513.6529089999999</v>
      </c>
      <c r="E163" s="388"/>
      <c r="F163" s="335">
        <v>42349</v>
      </c>
      <c r="G163" s="388">
        <v>9748834</v>
      </c>
      <c r="H163" s="388"/>
      <c r="I163" s="205" t="s">
        <v>131</v>
      </c>
    </row>
    <row r="164" spans="1:10" ht="14.25" x14ac:dyDescent="0.2">
      <c r="A164" s="248" t="s">
        <v>522</v>
      </c>
      <c r="B164" s="368">
        <v>74815</v>
      </c>
      <c r="C164" s="374">
        <v>43090</v>
      </c>
      <c r="D164" s="388">
        <v>165827</v>
      </c>
      <c r="E164" s="388"/>
      <c r="F164" s="335">
        <v>42631</v>
      </c>
      <c r="G164" s="388">
        <v>612552</v>
      </c>
      <c r="H164" s="388"/>
      <c r="I164" s="205" t="s">
        <v>534</v>
      </c>
    </row>
    <row r="165" spans="1:10" ht="14.25" x14ac:dyDescent="0.2">
      <c r="A165" s="248" t="s">
        <v>498</v>
      </c>
      <c r="B165" s="199">
        <v>16176.59</v>
      </c>
      <c r="C165" s="374">
        <v>43039</v>
      </c>
      <c r="D165" s="206"/>
      <c r="E165" s="205"/>
      <c r="F165" s="206"/>
      <c r="G165" s="205"/>
      <c r="H165" s="305"/>
      <c r="I165" s="305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Nov 2018</v>
      </c>
      <c r="G177" s="125"/>
      <c r="H177" s="125"/>
    </row>
    <row r="178" spans="1:11" ht="12.75" customHeight="1" x14ac:dyDescent="0.2">
      <c r="F178" s="377" t="s">
        <v>200</v>
      </c>
      <c r="G178" s="377"/>
      <c r="H178" s="377"/>
    </row>
    <row r="179" spans="1:11" x14ac:dyDescent="0.2">
      <c r="F179" s="377"/>
      <c r="G179" s="377"/>
      <c r="H179" s="377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October 2018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9"/>
      <c r="F182" s="397" t="s">
        <v>209</v>
      </c>
      <c r="G182" s="397"/>
      <c r="H182" s="397"/>
      <c r="I182" s="397"/>
    </row>
    <row r="183" spans="1:11" ht="15.75" thickBot="1" x14ac:dyDescent="0.3">
      <c r="A183" s="295"/>
      <c r="B183" s="320" t="str">
        <f>TEXT(DATE(2000,TEXT(H3,"M")-1,1),"mmm")&amp; " "&amp; TEXT(H3,"YYYY")</f>
        <v>Oct 2018</v>
      </c>
      <c r="C183" s="284" t="s">
        <v>16</v>
      </c>
      <c r="D183" s="320" t="str">
        <f>TEXT(DATE(2000,TEXT(H3,"M")-1,1),"mmm")&amp; " "&amp; TEXT(H3,"YYYY")-1</f>
        <v>Oct 2017</v>
      </c>
      <c r="E183" s="321" t="s">
        <v>16</v>
      </c>
      <c r="F183" s="295">
        <f>TEXT($H$3,"YYYY")-1</f>
        <v>2017</v>
      </c>
      <c r="G183" s="284">
        <f>TEXT($H$3,"YYYY")-2</f>
        <v>2016</v>
      </c>
      <c r="H183" s="295">
        <f>TEXT($H$3,"YYYY")-3</f>
        <v>2015</v>
      </c>
      <c r="I183" s="284">
        <f>TEXT($H$3,"YYYY")-4</f>
        <v>2014</v>
      </c>
    </row>
    <row r="184" spans="1:11" ht="14.25" x14ac:dyDescent="0.2">
      <c r="A184" s="248" t="s">
        <v>17</v>
      </c>
      <c r="B184" s="369">
        <v>891739.74214332295</v>
      </c>
      <c r="C184" s="345">
        <v>19</v>
      </c>
      <c r="D184" s="369">
        <v>1128663.2946685101</v>
      </c>
      <c r="E184" s="345">
        <v>16</v>
      </c>
      <c r="F184" s="305">
        <v>17</v>
      </c>
      <c r="G184" s="345">
        <v>17</v>
      </c>
      <c r="H184" s="305">
        <v>18</v>
      </c>
      <c r="I184" s="345">
        <v>17</v>
      </c>
      <c r="K184" s="126"/>
    </row>
    <row r="185" spans="1:11" ht="14.25" x14ac:dyDescent="0.2">
      <c r="A185" s="248" t="s">
        <v>18</v>
      </c>
      <c r="B185" s="369">
        <v>33750.19233906045</v>
      </c>
      <c r="C185" s="345">
        <v>19</v>
      </c>
      <c r="D185" s="369">
        <v>34159.959561562253</v>
      </c>
      <c r="E185" s="345">
        <v>22</v>
      </c>
      <c r="F185" s="305">
        <v>20</v>
      </c>
      <c r="G185" s="345">
        <v>21</v>
      </c>
      <c r="H185" s="305">
        <v>20</v>
      </c>
      <c r="I185" s="345">
        <v>24</v>
      </c>
      <c r="K185" s="262"/>
    </row>
    <row r="186" spans="1:11" ht="14.25" x14ac:dyDescent="0.2">
      <c r="A186" s="248" t="s">
        <v>164</v>
      </c>
      <c r="B186" s="404">
        <v>46.198</v>
      </c>
      <c r="C186" s="345">
        <v>25</v>
      </c>
      <c r="D186" s="403">
        <v>32.56</v>
      </c>
      <c r="E186" s="345">
        <v>26</v>
      </c>
      <c r="F186" s="305">
        <v>30</v>
      </c>
      <c r="G186" s="345">
        <v>25</v>
      </c>
      <c r="H186" s="305">
        <v>22</v>
      </c>
      <c r="I186" s="345">
        <v>29</v>
      </c>
      <c r="K186" s="262"/>
    </row>
    <row r="187" spans="1:11" ht="14.25" x14ac:dyDescent="0.2">
      <c r="A187" s="248" t="s">
        <v>165</v>
      </c>
      <c r="B187" s="404">
        <v>43.566000000000003</v>
      </c>
      <c r="C187" s="345">
        <v>26</v>
      </c>
      <c r="D187" s="403">
        <v>32.15</v>
      </c>
      <c r="E187" s="345">
        <v>29</v>
      </c>
      <c r="F187" s="305">
        <v>25</v>
      </c>
      <c r="G187" s="345">
        <v>28</v>
      </c>
      <c r="H187" s="305">
        <v>22</v>
      </c>
      <c r="I187" s="345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3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3"/>
      <c r="G195" s="281"/>
      <c r="H195" s="281"/>
      <c r="I195" s="281"/>
    </row>
    <row r="196" spans="1:9" ht="15.75" thickBot="1" x14ac:dyDescent="0.3">
      <c r="A196" s="295"/>
      <c r="B196" s="282" t="str">
        <f>TEXT($H$3,"MMM")&amp;" "&amp;TEXT($H$3,"YYYY")</f>
        <v>Nov 2018</v>
      </c>
      <c r="C196" s="282" t="str">
        <f>TEXT($H$3,"YYYY")</f>
        <v>2018</v>
      </c>
      <c r="D196" s="282">
        <f>TEXT($H$3,"YYYY")-1</f>
        <v>2017</v>
      </c>
      <c r="E196" s="284" t="s">
        <v>6</v>
      </c>
      <c r="F196" s="284">
        <f>TEXT($H$3,"YYYY")-1</f>
        <v>2017</v>
      </c>
      <c r="G196" s="284">
        <f>TEXT($H$3,"YYYY")-2</f>
        <v>2016</v>
      </c>
      <c r="H196" s="284">
        <f>TEXT($H$3,"YYYY")-3</f>
        <v>2015</v>
      </c>
      <c r="I196" s="284">
        <f>TEXT($H$3,"YYYY")-4</f>
        <v>2014</v>
      </c>
    </row>
    <row r="197" spans="1:9" ht="14.25" x14ac:dyDescent="0.2">
      <c r="A197" s="248" t="s">
        <v>21</v>
      </c>
      <c r="B197" s="195">
        <f>SUMIF(Data!$DG$1:$DG$15,"AS",Data!$DH$1:$DH$15)/1000000</f>
        <v>1648.3842460000001</v>
      </c>
      <c r="C197" s="361">
        <f>SUMIF(Data!$DJ$1:$DJ$15,"AS",Data!$DK$1:$DK$15)/1000000</f>
        <v>5231.2276068800002</v>
      </c>
      <c r="D197" s="361">
        <f>SUMIF(Data!$DM$1:$DM$15,"AS",Data!$DN$1:$DN$15)/1000000</f>
        <v>23172.200616680002</v>
      </c>
      <c r="E197" s="363">
        <f>IFERROR(IF(OR(AND(D197="",C197=""),AND(D197=0,C197=0)),0,
IF(OR(D197="",D197=0),1,
IF(OR(D197&lt;&gt;"",D197&lt;&gt;0),(C197-D197)/ABS(D197)))),-1)</f>
        <v>-0.77424554130977019</v>
      </c>
      <c r="F197" s="368">
        <v>23315</v>
      </c>
      <c r="G197" s="361">
        <v>13085</v>
      </c>
      <c r="H197" s="361">
        <v>93130</v>
      </c>
      <c r="I197" s="361">
        <v>33385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125.00000249999999</v>
      </c>
      <c r="C198" s="361">
        <f>(SUMIF(Data!$DJ$1:$DJ$15,"RT",Data!$DK$1:$DK$15)+SUMIF(Data!$DJ$1:$DJ$15,"TU",Data!$DK$1:$DK$15))/1000000</f>
        <v>4297.3845491599996</v>
      </c>
      <c r="D198" s="361">
        <f>(SUMIF(Data!$DM$1:$DM$15,"RT",Data!$DN$1:$DN$15)+SUMIF(Data!$DM$1:$DM$15,"TU",Data!$DN$1:$DN$15))/1000000</f>
        <v>31588.284984630001</v>
      </c>
      <c r="E198" s="363">
        <f t="shared" ref="E198:E201" si="16">IFERROR(IF(OR(AND(D198="",C198=""),AND(D198=0,C198=0)),0,
IF(OR(D198="",D198=0),1,
IF(OR(D198&lt;&gt;"",D198&lt;&gt;0),(C198-D198)/ABS(D198)))),-1)</f>
        <v>-0.86395638284094911</v>
      </c>
      <c r="F198" s="368">
        <v>32688</v>
      </c>
      <c r="G198" s="361">
        <v>24160</v>
      </c>
      <c r="H198" s="361">
        <v>35842</v>
      </c>
      <c r="I198" s="361">
        <v>43473</v>
      </c>
    </row>
    <row r="199" spans="1:9" ht="14.25" x14ac:dyDescent="0.2">
      <c r="A199" s="248" t="s">
        <v>176</v>
      </c>
      <c r="B199" s="195">
        <v>0</v>
      </c>
      <c r="C199" s="361">
        <v>0</v>
      </c>
      <c r="D199" s="361">
        <v>0</v>
      </c>
      <c r="E199" s="363">
        <f t="shared" si="16"/>
        <v>0</v>
      </c>
      <c r="F199" s="368" t="s">
        <v>537</v>
      </c>
      <c r="G199" s="185" t="s">
        <v>535</v>
      </c>
      <c r="H199" s="185" t="s">
        <v>536</v>
      </c>
      <c r="I199" s="185" t="s">
        <v>536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291.58610634999997</v>
      </c>
      <c r="C200" s="361">
        <f>(SUMIF(Data!$DJ$1:$DJ$15,"SO",Data!$DK$1:$DK$15)+SUMIF(Data!$DJ$1:$DJ$15,"SS",Data!$DK$1:$DK$15))/1000000</f>
        <v>6114.305359</v>
      </c>
      <c r="D200" s="361">
        <f>(SUMIF(Data!$DM$1:$DM$15,"SO",Data!$DN$1:$DN$15)+SUMIF(Data!$DM$1:$DM$15,"SS",Data!$DN$1:$DN$15))/1000000</f>
        <v>8669.1363748599997</v>
      </c>
      <c r="E200" s="363">
        <f t="shared" si="16"/>
        <v>-0.2947042133595757</v>
      </c>
      <c r="F200" s="368">
        <v>9468</v>
      </c>
      <c r="G200" s="361">
        <v>9374</v>
      </c>
      <c r="H200" s="361">
        <v>11688</v>
      </c>
      <c r="I200" s="361">
        <v>9553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80.842499779999997</v>
      </c>
      <c r="C201" s="361">
        <f>(SUMIF(Data!$DJ$1:$DJ$15,"SI",Data!$DK$1:$DK$15)+SUMIF(Data!$DJ$1:$DJ$15,"GI",Data!$DK$1:$DK$15))/1000000</f>
        <v>38488.359253550007</v>
      </c>
      <c r="D201" s="361">
        <f>(SUMIF(Data!$DM$1:$DM$15,"SI",Data!$DN$1:$DN$15)+SUMIF(Data!$DM$1:$DM$15,"GI",Data!$DN$1:$DN$15))/1000000</f>
        <v>28395.6458026</v>
      </c>
      <c r="E201" s="363">
        <f t="shared" si="16"/>
        <v>0.35543172784701677</v>
      </c>
      <c r="F201" s="368">
        <v>35048</v>
      </c>
      <c r="G201" s="361">
        <v>69649</v>
      </c>
      <c r="H201" s="361">
        <v>109530</v>
      </c>
      <c r="I201" s="361">
        <v>66949</v>
      </c>
    </row>
    <row r="202" spans="1:9" ht="15" x14ac:dyDescent="0.25">
      <c r="A202" s="288" t="s">
        <v>25</v>
      </c>
      <c r="B202" s="362">
        <f>SUM(B197:B201)</f>
        <v>2145.8128546299999</v>
      </c>
      <c r="C202" s="362">
        <f>SUM(C197:C201)</f>
        <v>54131.276768590003</v>
      </c>
      <c r="D202" s="362">
        <f>SUM(D197:D201)</f>
        <v>91825.267778770009</v>
      </c>
      <c r="E202" s="364">
        <f>IFERROR(IF(OR(AND(D202="",C202=""),AND(D202=0,C202=0)),0,
IF(OR(D202="",D202=0),1,
IF(OR(D202&lt;&gt;"",D202&lt;&gt;0),(C202-D202)/ABS(D202)))),-1)</f>
        <v>-0.41049693534239656</v>
      </c>
      <c r="F202" s="375">
        <v>100520</v>
      </c>
      <c r="G202" s="362">
        <v>116269</v>
      </c>
      <c r="H202" s="362">
        <v>250190</v>
      </c>
      <c r="I202" s="362">
        <v>153360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3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3"/>
      <c r="G208" s="281"/>
      <c r="H208" s="281"/>
      <c r="I208" s="281"/>
    </row>
    <row r="209" spans="1:9" ht="15.75" thickBot="1" x14ac:dyDescent="0.3">
      <c r="A209" s="295"/>
      <c r="B209" s="282" t="str">
        <f>TEXT($H$3,"MMM")&amp;" "&amp;TEXT($H$3,"YYYY")</f>
        <v>Nov 2018</v>
      </c>
      <c r="C209" s="282" t="str">
        <f>TEXT($H$3,"YYYY")</f>
        <v>2018</v>
      </c>
      <c r="D209" s="282">
        <f>TEXT($H$3,"YYYY")-1</f>
        <v>2017</v>
      </c>
      <c r="E209" s="284" t="s">
        <v>6</v>
      </c>
      <c r="F209" s="284">
        <f>TEXT($H$3,"YYYY")-1</f>
        <v>2017</v>
      </c>
      <c r="G209" s="284">
        <f>TEXT($H$3,"YYYY")-2</f>
        <v>2016</v>
      </c>
      <c r="H209" s="284">
        <f>TEXT($H$3,"YYYY")-3</f>
        <v>2015</v>
      </c>
      <c r="I209" s="284">
        <f>TEXT($H$3,"YYYY")-4</f>
        <v>2014</v>
      </c>
    </row>
    <row r="210" spans="1:9" ht="14.25" x14ac:dyDescent="0.2">
      <c r="A210" s="248" t="s">
        <v>172</v>
      </c>
      <c r="B210" s="286">
        <v>0.42970000000000003</v>
      </c>
      <c r="C210" s="286">
        <v>0.46229999999999999</v>
      </c>
      <c r="D210" s="286">
        <v>0.33689999999999998</v>
      </c>
      <c r="E210" s="286">
        <f>IFERROR(IF(OR(AND(D210="",C210=""),AND(D210=0,C210=0)),"",
IF(OR(D210="",D210=0),1,
IF(OR(D210&lt;&gt;"",D210&lt;&gt;0),(C210-D210)/ABS(D210)))),-1)</f>
        <v>0.37221727515583264</v>
      </c>
      <c r="F210" s="372">
        <f>0.3594*100</f>
        <v>35.94</v>
      </c>
      <c r="G210" s="324">
        <v>34.9</v>
      </c>
      <c r="H210" s="324">
        <v>42.8</v>
      </c>
      <c r="I210" s="324">
        <v>36.6</v>
      </c>
    </row>
    <row r="211" spans="1:9" ht="14.25" x14ac:dyDescent="0.2">
      <c r="A211" s="247" t="s">
        <v>173</v>
      </c>
      <c r="B211" s="286">
        <v>0.4052</v>
      </c>
      <c r="C211" s="286">
        <v>0.4335</v>
      </c>
      <c r="D211" s="286">
        <v>0.31140000000000001</v>
      </c>
      <c r="E211" s="286">
        <f>IFERROR(IF(OR(AND(D211="",C211=""),AND(D211=0,C211=0)),"",
IF(OR(D211="",D211=0),1,
IF(OR(D211&lt;&gt;"",D211&lt;&gt;0),(C211-D211)/ABS(D211)))),-1)</f>
        <v>0.39210019267822732</v>
      </c>
      <c r="F211" s="372">
        <f>0.3301*100</f>
        <v>33.01</v>
      </c>
      <c r="G211" s="324">
        <v>32.6</v>
      </c>
      <c r="H211" s="324">
        <v>39.9</v>
      </c>
      <c r="I211" s="324">
        <v>33.9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532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3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3"/>
      <c r="G218" s="281"/>
      <c r="H218" s="281"/>
      <c r="I218" s="281"/>
    </row>
    <row r="219" spans="1:9" ht="15.75" thickBot="1" x14ac:dyDescent="0.3">
      <c r="A219" s="295"/>
      <c r="B219" s="282" t="str">
        <f>TEXT($H$3,"MMM")&amp;" "&amp;TEXT($H$3,"YYYY")</f>
        <v>Nov 2018</v>
      </c>
      <c r="C219" s="282" t="str">
        <f>TEXT($H$3,"YYYY")</f>
        <v>2018</v>
      </c>
      <c r="D219" s="282">
        <f>TEXT($H$3,"YYYY")-1</f>
        <v>2017</v>
      </c>
      <c r="E219" s="284" t="s">
        <v>6</v>
      </c>
      <c r="F219" s="284">
        <f>TEXT($H$3,"YYYY")-1</f>
        <v>2017</v>
      </c>
      <c r="G219" s="284">
        <f>TEXT($H$3,"YYYY")-2</f>
        <v>2016</v>
      </c>
      <c r="H219" s="284">
        <f>TEXT($H$3,"YYYY")-3</f>
        <v>2015</v>
      </c>
      <c r="I219" s="284">
        <f>TEXT($H$3,"YYYY")-4</f>
        <v>2014</v>
      </c>
    </row>
    <row r="220" spans="1:9" ht="15" x14ac:dyDescent="0.25">
      <c r="A220" s="314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326</v>
      </c>
      <c r="C221" s="249">
        <f>SUMIF(Data!$BT$9:$BT$14,"&lt;&gt;AltX",Data!BU9:BU14)</f>
        <v>326</v>
      </c>
      <c r="D221" s="249">
        <f>SUMIF(Data!$BT$17:$BT$23,"&lt;&gt;AltX",Data!$BU$17:$BU$24)</f>
        <v>323</v>
      </c>
      <c r="E221" s="286">
        <f>IFERROR(IF(OR(AND(D221="",C221=""),AND(D221=0,C221=0)),"",
IF(OR(D221="",D221=0),1,
IF(OR(D221&lt;&gt;"",D221&lt;&gt;0),(C221-D221)/ABS(D221)))),-1)</f>
        <v>9.2879256965944269E-3</v>
      </c>
      <c r="F221" s="366">
        <v>324</v>
      </c>
      <c r="G221" s="249">
        <v>328</v>
      </c>
      <c r="H221" s="249">
        <v>331</v>
      </c>
      <c r="I221" s="249">
        <v>333</v>
      </c>
    </row>
    <row r="222" spans="1:9" ht="14.25" x14ac:dyDescent="0.2">
      <c r="A222" s="248" t="s">
        <v>30</v>
      </c>
      <c r="B222" s="249">
        <f ca="1">SUMIF(Data!$BT$1:$BT$7,"&lt;&gt;AltX",Data!$BV$1:$BV$6)</f>
        <v>1</v>
      </c>
      <c r="C222" s="249">
        <f>SUMIF(Data!$BT$9:$BT$14,"&lt;&gt;AltX",Data!BV9:BV14)</f>
        <v>11</v>
      </c>
      <c r="D222" s="249">
        <f>SUMIF(Data!$BT$17:$BT$23,"&lt;&gt;AltX",Data!$BV$17:$BV$23)</f>
        <v>12</v>
      </c>
      <c r="E222" s="286">
        <f t="shared" ref="E222:E223" si="17">IFERROR(IF(OR(AND(D222="",C222=""),AND(D222=0,C222=0)),"",
IF(OR(D222="",D222=0),1,
IF(OR(D222&lt;&gt;"",D222&lt;&gt;0),(C222-D222)/ABS(D222)))),-1)</f>
        <v>-8.3333333333333329E-2</v>
      </c>
      <c r="F222" s="366">
        <v>13</v>
      </c>
      <c r="G222" s="249">
        <v>11</v>
      </c>
      <c r="H222" s="249">
        <v>15</v>
      </c>
      <c r="I222" s="249">
        <v>18</v>
      </c>
    </row>
    <row r="223" spans="1:9" ht="14.25" x14ac:dyDescent="0.2">
      <c r="A223" s="248" t="s">
        <v>31</v>
      </c>
      <c r="B223" s="249">
        <f ca="1">SUMIF(Data!$BT$1:$BT$7,"&lt;&gt;AltX",Data!$BW$1:$BW$6)</f>
        <v>0</v>
      </c>
      <c r="C223" s="249">
        <f>SUMIF(Data!$BT$9:$BT$14,"&lt;&gt;AltX",Data!BW9:BW14)</f>
        <v>9</v>
      </c>
      <c r="D223" s="249">
        <f>SUMIF(Data!$BT$17:$BT$23,"&lt;&gt;AltX",Data!$BW$17:$BW$23)</f>
        <v>22</v>
      </c>
      <c r="E223" s="286">
        <f t="shared" si="17"/>
        <v>-0.59090909090909094</v>
      </c>
      <c r="F223" s="366">
        <v>21</v>
      </c>
      <c r="G223" s="249">
        <v>17</v>
      </c>
      <c r="H223" s="249">
        <v>18</v>
      </c>
      <c r="I223" s="249">
        <v>20</v>
      </c>
    </row>
    <row r="224" spans="1:9" ht="14.25" x14ac:dyDescent="0.2">
      <c r="A224" s="248"/>
      <c r="B224" s="249"/>
      <c r="C224" s="249"/>
      <c r="D224" s="249"/>
      <c r="E224" s="325"/>
      <c r="F224" s="366"/>
      <c r="G224" s="249"/>
      <c r="H224" s="249"/>
      <c r="I224" s="249"/>
    </row>
    <row r="225" spans="1:9" ht="15" x14ac:dyDescent="0.25">
      <c r="A225" s="288" t="s">
        <v>139</v>
      </c>
      <c r="B225" s="249"/>
      <c r="C225" s="249"/>
      <c r="D225" s="249"/>
      <c r="E225" s="325"/>
      <c r="F225" s="366"/>
      <c r="G225" s="249"/>
      <c r="H225" s="249"/>
      <c r="I225" s="249"/>
    </row>
    <row r="226" spans="1:9" ht="14.25" x14ac:dyDescent="0.2">
      <c r="A226" s="248" t="s">
        <v>29</v>
      </c>
      <c r="B226" s="249">
        <f ca="1">SUMIF(Data!$BT$1:$BT$7,"AltX",Data!$BU$1:$BU$6)</f>
        <v>46</v>
      </c>
      <c r="C226" s="249">
        <f>SUMIF(Data!$BT$9:$BT$14,"AltX",Data!BU9:BU14)</f>
        <v>46</v>
      </c>
      <c r="D226" s="249">
        <f>SUMIF(Data!$BT$17:$BT$23,"AltX",Data!$BU$17:$BU$24)</f>
        <v>51</v>
      </c>
      <c r="E226" s="286">
        <f t="shared" ref="E226:E227" si="18">IFERROR(IF(OR(AND(D226="",C226=""),AND(D226=0,C226=0)),"",
IF(OR(D226="",D226=0),1,
IF(OR(D226&lt;&gt;"",D226&lt;&gt;0),(C226-D226)/ABS(D226)))),-1)</f>
        <v>-9.8039215686274508E-2</v>
      </c>
      <c r="F226" s="366">
        <v>53</v>
      </c>
      <c r="G226" s="249">
        <v>60</v>
      </c>
      <c r="H226" s="249">
        <v>64</v>
      </c>
      <c r="I226" s="249">
        <v>58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1</v>
      </c>
      <c r="D227" s="249">
        <f>SUMIF(Data!$BT$17:$BT$23,"AltX",Data!$BV$17:$BV$23)</f>
        <v>6</v>
      </c>
      <c r="E227" s="286">
        <f t="shared" si="18"/>
        <v>-0.83333333333333337</v>
      </c>
      <c r="F227" s="366">
        <v>8</v>
      </c>
      <c r="G227" s="249">
        <v>7</v>
      </c>
      <c r="H227" s="249">
        <v>8</v>
      </c>
      <c r="I227" s="249">
        <v>6</v>
      </c>
    </row>
    <row r="228" spans="1:9" ht="14.25" x14ac:dyDescent="0.2">
      <c r="A228" s="248" t="s">
        <v>31</v>
      </c>
      <c r="B228" s="249">
        <f ca="1">SUMIF(Data!$BT$1:$BT$7,"AltX",Data!$BW$1:$BW$6)</f>
        <v>0</v>
      </c>
      <c r="C228" s="249">
        <f>SUMIF(Data!$BT$9:$BT$14,"AltX",Data!BW9:BW14)</f>
        <v>8</v>
      </c>
      <c r="D228" s="249">
        <f>SUMIF(Data!$BT$17:$BT$23,"AltX",Data!$BW$17:$BW$23)</f>
        <v>12</v>
      </c>
      <c r="E228" s="286">
        <f t="shared" ref="E228" ca="1" si="19">IFERROR(IF(OR(AND(C228="",B228=""),AND(C228=0,B228=0)),"",
IF(OR(C228="",C228=0),1,
IF(OR(C228&lt;&gt;"",C228&lt;&gt;0),(B228-C228)/ABS(C228)))),-1)</f>
        <v>-1</v>
      </c>
      <c r="F228" s="366">
        <v>11</v>
      </c>
      <c r="G228" s="249">
        <v>8</v>
      </c>
      <c r="H228" s="249">
        <v>1</v>
      </c>
      <c r="I228" s="249">
        <v>2</v>
      </c>
    </row>
    <row r="229" spans="1:9" ht="14.25" x14ac:dyDescent="0.2">
      <c r="A229" s="248"/>
      <c r="B229" s="249"/>
      <c r="C229" s="249"/>
      <c r="D229" s="249"/>
      <c r="E229" s="325"/>
      <c r="F229" s="366"/>
      <c r="G229" s="249"/>
      <c r="H229" s="249"/>
      <c r="I229" s="249"/>
    </row>
    <row r="230" spans="1:9" ht="15" x14ac:dyDescent="0.25">
      <c r="A230" s="288" t="s">
        <v>32</v>
      </c>
      <c r="B230" s="249"/>
      <c r="C230" s="249"/>
      <c r="D230" s="249"/>
      <c r="E230" s="325"/>
      <c r="F230" s="366"/>
      <c r="G230" s="249"/>
      <c r="H230" s="249"/>
      <c r="I230" s="249"/>
    </row>
    <row r="231" spans="1:9" ht="14.25" x14ac:dyDescent="0.2">
      <c r="A231" s="248" t="s">
        <v>30</v>
      </c>
      <c r="B231" s="249">
        <f t="shared" ref="B231:D232" ca="1" si="20">B222+B227</f>
        <v>1</v>
      </c>
      <c r="C231" s="249">
        <f t="shared" si="20"/>
        <v>12</v>
      </c>
      <c r="D231" s="249">
        <f t="shared" si="20"/>
        <v>18</v>
      </c>
      <c r="E231" s="286">
        <f t="shared" ref="E231:E237" si="21">IFERROR(IF(OR(AND(D231="",C231=""),AND(D231=0,C231=0)),"",
IF(OR(D231="",D231=0),1,
IF(OR(D231&lt;&gt;"",D231&lt;&gt;0),(C231-D231)/ABS(D231)))),-1)</f>
        <v>-0.33333333333333331</v>
      </c>
      <c r="F231" s="366">
        <v>21</v>
      </c>
      <c r="G231" s="249">
        <v>18</v>
      </c>
      <c r="H231" s="249">
        <v>23</v>
      </c>
      <c r="I231" s="249">
        <v>24</v>
      </c>
    </row>
    <row r="232" spans="1:9" ht="14.25" x14ac:dyDescent="0.2">
      <c r="A232" s="248" t="s">
        <v>31</v>
      </c>
      <c r="B232" s="249">
        <f t="shared" ca="1" si="20"/>
        <v>0</v>
      </c>
      <c r="C232" s="249">
        <f t="shared" si="20"/>
        <v>17</v>
      </c>
      <c r="D232" s="249">
        <f t="shared" si="20"/>
        <v>34</v>
      </c>
      <c r="E232" s="286">
        <f>IFERROR(IF(OR(AND(D232="",C232=""),AND(D232=0,C232=0)),"",
IF(OR(D232="",D232=0),1,
IF(OR(D232&lt;&gt;"",D232&lt;&gt;0),(C232-D232)/ABS(D232)))),-1)</f>
        <v>-0.5</v>
      </c>
      <c r="F232" s="366">
        <v>32</v>
      </c>
      <c r="G232" s="249">
        <v>25</v>
      </c>
      <c r="H232" s="249">
        <v>19</v>
      </c>
      <c r="I232" s="249">
        <v>22</v>
      </c>
    </row>
    <row r="233" spans="1:9" ht="14.25" x14ac:dyDescent="0.2">
      <c r="A233" s="248" t="s">
        <v>33</v>
      </c>
      <c r="B233" s="249">
        <f>SUM(Data!$CB$2:$CB$6)</f>
        <v>74</v>
      </c>
      <c r="C233" s="249">
        <f>SUM(Data!$CB$10:$CB$14)</f>
        <v>74</v>
      </c>
      <c r="D233" s="249">
        <f>SUM(Data!CB18:CB22)</f>
        <v>74</v>
      </c>
      <c r="E233" s="286">
        <f t="shared" si="21"/>
        <v>0</v>
      </c>
      <c r="F233" s="366">
        <v>75</v>
      </c>
      <c r="G233" s="249">
        <v>76</v>
      </c>
      <c r="H233" s="249">
        <v>71</v>
      </c>
      <c r="I233" s="249">
        <v>62</v>
      </c>
    </row>
    <row r="234" spans="1:9" ht="14.25" x14ac:dyDescent="0.2">
      <c r="A234" s="248" t="s">
        <v>34</v>
      </c>
      <c r="B234" s="249">
        <f>SUM(Data!$CA$2:$CA$6)</f>
        <v>298</v>
      </c>
      <c r="C234" s="249">
        <f>SUM(Data!$CA$10:$CA$14)</f>
        <v>298</v>
      </c>
      <c r="D234" s="249">
        <f>SUM(Data!CA18:CA22)</f>
        <v>300</v>
      </c>
      <c r="E234" s="286">
        <f t="shared" si="21"/>
        <v>-6.6666666666666671E-3</v>
      </c>
      <c r="F234" s="366">
        <v>302</v>
      </c>
      <c r="G234" s="249">
        <v>312</v>
      </c>
      <c r="H234" s="249">
        <v>324</v>
      </c>
      <c r="I234" s="249">
        <v>329</v>
      </c>
    </row>
    <row r="235" spans="1:9" ht="15" x14ac:dyDescent="0.25">
      <c r="A235" s="288" t="s">
        <v>35</v>
      </c>
      <c r="B235" s="250">
        <f ca="1">B221+B226</f>
        <v>372</v>
      </c>
      <c r="C235" s="250">
        <f>C221+C226</f>
        <v>372</v>
      </c>
      <c r="D235" s="250">
        <f>D221+D226</f>
        <v>374</v>
      </c>
      <c r="E235" s="326">
        <f t="shared" si="21"/>
        <v>-5.3475935828877002E-3</v>
      </c>
      <c r="F235" s="367">
        <v>377</v>
      </c>
      <c r="G235" s="250">
        <v>388</v>
      </c>
      <c r="H235" s="250">
        <v>395</v>
      </c>
      <c r="I235" s="250">
        <v>391</v>
      </c>
    </row>
    <row r="236" spans="1:9" ht="15" x14ac:dyDescent="0.25">
      <c r="A236" s="288"/>
      <c r="B236" s="249"/>
      <c r="C236" s="249"/>
      <c r="D236" s="250"/>
      <c r="E236" s="248"/>
      <c r="F236" s="366"/>
      <c r="G236" s="249"/>
      <c r="H236" s="249"/>
      <c r="I236" s="249"/>
    </row>
    <row r="237" spans="1:9" ht="15" x14ac:dyDescent="0.25">
      <c r="A237" s="288" t="s">
        <v>36</v>
      </c>
      <c r="B237" s="250">
        <f>Data!CD2</f>
        <v>798</v>
      </c>
      <c r="C237" s="250">
        <f>Data!CD2</f>
        <v>798</v>
      </c>
      <c r="D237" s="250">
        <f>Data!CD5</f>
        <v>811</v>
      </c>
      <c r="E237" s="326">
        <f t="shared" si="21"/>
        <v>-1.6029593094944512E-2</v>
      </c>
      <c r="F237" s="367">
        <v>812</v>
      </c>
      <c r="G237" s="250">
        <v>816</v>
      </c>
      <c r="H237" s="250">
        <v>858</v>
      </c>
      <c r="I237" s="250">
        <v>863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7">
        <f>Data!CE2/1000000000</f>
        <v>12520.97181308126</v>
      </c>
      <c r="C239" s="327"/>
      <c r="D239" s="327">
        <f>Data!CE5/1000000000</f>
        <v>15908.8723171159</v>
      </c>
      <c r="E239" s="326">
        <f>IFERROR(IF(OR(AND(D239="",B239=""),AND(D239=0,B239=0)),"",
IF(OR(D239="",D239=0),1,
IF(OR(D239&lt;&gt;"",D239&lt;&gt;0),(B239-D239)/ABS(D239)))),-1)</f>
        <v>-0.21295667200683327</v>
      </c>
      <c r="F239" s="373">
        <v>15461.4</v>
      </c>
      <c r="G239" s="327">
        <v>13580.6</v>
      </c>
      <c r="H239" s="327">
        <v>11727.6</v>
      </c>
      <c r="I239" s="327">
        <v>11505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Nov 2018</v>
      </c>
      <c r="E262" s="377" t="s">
        <v>201</v>
      </c>
      <c r="F262" s="377"/>
      <c r="G262" s="377"/>
      <c r="H262" s="377"/>
      <c r="I262" s="125"/>
    </row>
    <row r="263" spans="1:13" ht="13.5" thickBot="1" x14ac:dyDescent="0.25">
      <c r="A263" s="116"/>
      <c r="B263" s="116"/>
      <c r="C263" s="116"/>
      <c r="D263" s="116"/>
      <c r="E263" s="390"/>
      <c r="F263" s="390"/>
      <c r="G263" s="390"/>
      <c r="H263" s="390"/>
      <c r="I263" s="116"/>
    </row>
    <row r="264" spans="1:13" ht="15" x14ac:dyDescent="0.25">
      <c r="A264" s="281"/>
      <c r="B264" s="281"/>
      <c r="C264" s="281"/>
      <c r="D264" s="181"/>
      <c r="E264" s="208"/>
      <c r="F264" s="328"/>
      <c r="G264" s="393" t="s">
        <v>203</v>
      </c>
      <c r="H264" s="393" t="s">
        <v>202</v>
      </c>
      <c r="I264" s="329"/>
    </row>
    <row r="265" spans="1:13" ht="12.75" customHeight="1" x14ac:dyDescent="0.25">
      <c r="A265" s="281"/>
      <c r="B265" s="281"/>
      <c r="C265" s="281"/>
      <c r="D265" s="181"/>
      <c r="E265" s="393" t="s">
        <v>40</v>
      </c>
      <c r="F265" s="398" t="str">
        <f>"Index Close   "&amp;TEXT($H$3,"MMM")&amp;" "&amp;TEXT($H$3,"YYYY")</f>
        <v>Index Close   Nov 2018</v>
      </c>
      <c r="G265" s="393"/>
      <c r="H265" s="393"/>
      <c r="I265" s="400" t="s">
        <v>41</v>
      </c>
    </row>
    <row r="266" spans="1:13" ht="15.75" thickBot="1" x14ac:dyDescent="0.3">
      <c r="A266" s="330"/>
      <c r="B266" s="331"/>
      <c r="C266" s="331"/>
      <c r="D266" s="197"/>
      <c r="E266" s="394"/>
      <c r="F266" s="399"/>
      <c r="G266" s="394"/>
      <c r="H266" s="394"/>
      <c r="I266" s="401"/>
    </row>
    <row r="267" spans="1:13" ht="15" x14ac:dyDescent="0.25">
      <c r="A267" s="332" t="s">
        <v>39</v>
      </c>
      <c r="B267" s="332"/>
      <c r="C267" s="332"/>
      <c r="D267" s="332"/>
      <c r="E267" s="332"/>
      <c r="F267" s="332"/>
      <c r="G267" s="332"/>
      <c r="H267" s="332"/>
      <c r="I267" s="332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50663.935090730003</v>
      </c>
      <c r="G268" s="286">
        <f>IF(IFERROR(VLOOKUP(E268,Data!$O$23:$P$196,2,FALSE),0)=0,0,(F268-IFERROR(VLOOKUP(E268,Data!$O$23:$P$196,2,FALSE),0))/ABS(IFERROR(VLOOKUP(E268,Data!$O$23:$P$196,2,FALSE),0)))</f>
        <v>-0.1409996161102286</v>
      </c>
      <c r="H268" s="184">
        <f>VLOOKUP(E268,Data!$B$23:$E$273,3,FALSE)</f>
        <v>61684.771932919997</v>
      </c>
      <c r="I268" s="333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67810.485425749997</v>
      </c>
      <c r="G269" s="286">
        <f>IF(IFERROR(VLOOKUP(E269,Data!$O$23:$P$196,2,FALSE),0)=0,0,(F269-IFERROR(VLOOKUP(E269,Data!$O$23:$P$196,2,FALSE),0))/ABS(IFERROR(VLOOKUP(E269,Data!$O$23:$P$196,2,FALSE),0)))</f>
        <v>-9.7610585789106835E-2</v>
      </c>
      <c r="H269" s="184">
        <f>VLOOKUP(E269,Data!$B$23:$E$273,3,FALSE)</f>
        <v>82603.124167989998</v>
      </c>
      <c r="I269" s="333">
        <f>VLOOKUP(E269,Data!$B$23:$E$273,2,FALSE)</f>
        <v>42594</v>
      </c>
      <c r="J269" s="157"/>
      <c r="M269" s="157"/>
    </row>
    <row r="270" spans="1:13" s="161" customFormat="1" ht="14.25" x14ac:dyDescent="0.2">
      <c r="A270" s="305" t="s">
        <v>46</v>
      </c>
      <c r="B270" s="305"/>
      <c r="C270" s="185"/>
      <c r="D270" s="185"/>
      <c r="E270" s="305" t="s">
        <v>47</v>
      </c>
      <c r="F270" s="185">
        <f>IFERROR(VLOOKUP(E270,Data!$G$23:$H$196,2,FALSE),0)</f>
        <v>50676.653758059998</v>
      </c>
      <c r="G270" s="334">
        <f>IF(IFERROR(VLOOKUP(E270,Data!$O$23:$P$196,2,FALSE),0)=0,0,(F270-IFERROR(VLOOKUP(E270,Data!$O$23:$P$196,2,FALSE),0))/ABS(IFERROR(VLOOKUP(E270,Data!$O$23:$P$196,2,FALSE),0)))</f>
        <v>-0.16976662268721998</v>
      </c>
      <c r="H270" s="185">
        <f>VLOOKUP(E270,Data!$B$23:$E$273,3,FALSE)</f>
        <v>65469.71245626</v>
      </c>
      <c r="I270" s="335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6744.0767286099999</v>
      </c>
      <c r="G271" s="286">
        <f>IF(IFERROR(VLOOKUP(E271,Data!$O$23:$P$196,2,FALSE),0)=0,0,(F271-IFERROR(VLOOKUP(E271,Data!$O$23:$P$196,2,FALSE),0))/ABS(IFERROR(VLOOKUP(E271,Data!$O$23:$P$196,2,FALSE),0)))</f>
        <v>-0.10869031074308742</v>
      </c>
      <c r="H271" s="184">
        <f>VLOOKUP(E271,Data!$B$23:$E$273,3,FALSE)</f>
        <v>8292.5284918300003</v>
      </c>
      <c r="I271" s="333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25503.168538940001</v>
      </c>
      <c r="G272" s="286">
        <f>IF(IFERROR(VLOOKUP(E272,Data!$O$23:$P$196,2,FALSE),0)=0,0,(F272-IFERROR(VLOOKUP(E272,Data!$O$23:$P$196,2,FALSE),0))/ABS(IFERROR(VLOOKUP(E272,Data!$O$23:$P$196,2,FALSE),0)))</f>
        <v>-0.13479990302772965</v>
      </c>
      <c r="H272" s="184">
        <f>VLOOKUP(E272,Data!$B$23:$E$273,3,FALSE)</f>
        <v>30767.717573220001</v>
      </c>
      <c r="I272" s="333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11085.156857460001</v>
      </c>
      <c r="G273" s="286">
        <f>IF(IFERROR(VLOOKUP(E273,Data!$O$23:$P$196,2,FALSE),0)=0,0,(F273-IFERROR(VLOOKUP(E273,Data!$O$23:$P$196,2,FALSE),0))/ABS(IFERROR(VLOOKUP(E273,Data!$O$23:$P$196,2,FALSE),0)))</f>
        <v>-0.14380017571547393</v>
      </c>
      <c r="H273" s="184">
        <f>VLOOKUP(E273,Data!$B$23:$E$273,3,FALSE)</f>
        <v>13771.555498350001</v>
      </c>
      <c r="I273" s="333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3"/>
    </row>
    <row r="275" spans="1:13" ht="15" x14ac:dyDescent="0.25">
      <c r="A275" s="332" t="s">
        <v>54</v>
      </c>
      <c r="B275" s="332"/>
      <c r="C275" s="332"/>
      <c r="D275" s="332"/>
      <c r="E275" s="332"/>
      <c r="F275" s="332"/>
      <c r="G275" s="332"/>
      <c r="H275" s="332"/>
      <c r="I275" s="332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44656.888873069998</v>
      </c>
      <c r="G276" s="286">
        <f>IF(IFERROR(VLOOKUP(E276,Data!$O$23:$P$196,2,FALSE),0)=0,0,(F276-IFERROR(VLOOKUP(E276,Data!$O$23:$P$196,2,FALSE),0))/ABS(IFERROR(VLOOKUP(E276,Data!$O$23:$P$196,2,FALSE),0)))</f>
        <v>-0.15052849062696283</v>
      </c>
      <c r="H276" s="184">
        <f>VLOOKUP(E276,Data!$B$23:$E$273,3,FALSE)</f>
        <v>55065.365928040002</v>
      </c>
      <c r="I276" s="333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23428.595801579999</v>
      </c>
      <c r="G277" s="286">
        <f>IF(IFERROR(VLOOKUP(E277,Data!$O$23:$P$196,2,FALSE),0)=0,0,(F277-IFERROR(VLOOKUP(E277,Data!$O$23:$P$196,2,FALSE),0))/ABS(IFERROR(VLOOKUP(E277,Data!$O$23:$P$196,2,FALSE),0)))</f>
        <v>-0.13529205653041884</v>
      </c>
      <c r="H277" s="184">
        <f>VLOOKUP(E277,Data!$B$23:$E$273,3,FALSE)</f>
        <v>28107.866765129998</v>
      </c>
      <c r="I277" s="333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9931.4379136700009</v>
      </c>
      <c r="G278" s="286">
        <f>IF(IFERROR(VLOOKUP(E278,Data!$O$23:$P$196,2,FALSE),0)=0,0,(F278-IFERROR(VLOOKUP(E278,Data!$O$23:$P$196,2,FALSE),0))/ABS(IFERROR(VLOOKUP(E278,Data!$O$23:$P$196,2,FALSE),0)))</f>
        <v>-0.15241485100618241</v>
      </c>
      <c r="H278" s="184">
        <f>VLOOKUP(E278,Data!$B$23:$E$273,3,FALSE)</f>
        <v>12491.5886923</v>
      </c>
      <c r="I278" s="333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36456.567837729999</v>
      </c>
      <c r="G279" s="286">
        <f>IF(IFERROR(VLOOKUP(E279,Data!$O$23:$P$196,2,FALSE),0)=0,0,(F279-IFERROR(VLOOKUP(E279,Data!$O$23:$P$196,2,FALSE),0))/ABS(IFERROR(VLOOKUP(E279,Data!$O$23:$P$196,2,FALSE),0)))</f>
        <v>-2.1223033462834637E-2</v>
      </c>
      <c r="H279" s="184">
        <f>VLOOKUP(E279,Data!$B$23:$E$273,3,FALSE)</f>
        <v>77308.45</v>
      </c>
      <c r="I279" s="333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1098.81498244</v>
      </c>
      <c r="G280" s="286">
        <f>IF(IFERROR(VLOOKUP(E280,Data!$O$23:$P$196,2,FALSE),0)=0,0,(F280-IFERROR(VLOOKUP(E280,Data!$O$23:$P$196,2,FALSE),0))/ABS(IFERROR(VLOOKUP(E280,Data!$O$23:$P$196,2,FALSE),0)))</f>
        <v>-0.20198177585726917</v>
      </c>
      <c r="H280" s="184">
        <f>VLOOKUP(E280,Data!$B$23:$E$273,3,FALSE)</f>
        <v>3456.48</v>
      </c>
      <c r="I280" s="333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62089.70162321</v>
      </c>
      <c r="G281" s="286">
        <f>IF(IFERROR(VLOOKUP(E281,Data!$O$23:$P$196,2,FALSE),0)=0,0,(F281-IFERROR(VLOOKUP(E281,Data!$O$23:$P$196,2,FALSE),0))/ABS(IFERROR(VLOOKUP(E281,Data!$O$23:$P$196,2,FALSE),0)))</f>
        <v>-0.2414176900820845</v>
      </c>
      <c r="H281" s="184">
        <f>VLOOKUP(E281,Data!$B$23:$E$273,3,FALSE)</f>
        <v>87017.951262529998</v>
      </c>
      <c r="I281" s="333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16201.780421400001</v>
      </c>
      <c r="G282" s="286">
        <f>IF(IFERROR(VLOOKUP(E282,Data!$O$23:$P$196,2,FALSE),0)=0,0,(F282-IFERROR(VLOOKUP(E282,Data!$O$23:$P$196,2,FALSE),0))/ABS(IFERROR(VLOOKUP(E282,Data!$O$23:$P$196,2,FALSE),0)))</f>
        <v>5.0464000312887523E-2</v>
      </c>
      <c r="H282" s="184">
        <f>VLOOKUP(E282,Data!$B$23:$E$273,3,FALSE)</f>
        <v>18847.577311370002</v>
      </c>
      <c r="I282" s="333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68241.095385029999</v>
      </c>
      <c r="G283" s="286">
        <f>IF(IFERROR(VLOOKUP(E283,Data!$O$23:$P$196,2,FALSE),0)=0,0,(F283-IFERROR(VLOOKUP(E283,Data!$O$23:$P$196,2,FALSE),0))/ABS(IFERROR(VLOOKUP(E283,Data!$O$23:$P$196,2,FALSE),0)))</f>
        <v>-0.18212812201975909</v>
      </c>
      <c r="H283" s="184">
        <f>VLOOKUP(E283,Data!$B$23:$E$273,3,FALSE)</f>
        <v>88373.331097460003</v>
      </c>
      <c r="I283" s="333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3"/>
    </row>
    <row r="285" spans="1:13" ht="15" x14ac:dyDescent="0.25">
      <c r="A285" s="332" t="s">
        <v>70</v>
      </c>
      <c r="B285" s="332"/>
      <c r="C285" s="332"/>
      <c r="D285" s="332"/>
      <c r="E285" s="332"/>
      <c r="F285" s="332"/>
      <c r="G285" s="332"/>
      <c r="H285" s="332"/>
      <c r="I285" s="332"/>
    </row>
    <row r="286" spans="1:13" s="161" customFormat="1" ht="14.25" x14ac:dyDescent="0.2">
      <c r="A286" s="305" t="s">
        <v>71</v>
      </c>
      <c r="B286" s="305"/>
      <c r="C286" s="185"/>
      <c r="D286" s="185"/>
      <c r="E286" s="305" t="s">
        <v>72</v>
      </c>
      <c r="F286" s="185">
        <f>IFERROR(VLOOKUP(E286,Data!$G$23:$H$196,2,FALSE),0)</f>
        <v>10026.513768700001</v>
      </c>
      <c r="G286" s="334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5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25610.504913100001</v>
      </c>
      <c r="G287" s="286">
        <f>IF(IFERROR(VLOOKUP(E287,Data!$O$23:$P$196,2,FALSE),0)=0,0,(F287-IFERROR(VLOOKUP(E287,Data!$O$23:$P$196,2,FALSE),0))/ABS(IFERROR(VLOOKUP(E287,Data!$O$23:$P$196,2,FALSE),0)))</f>
        <v>-3.2812602407237518E-2</v>
      </c>
      <c r="H287" s="184">
        <f>VLOOKUP(E287,Data!$B$23:$E$273,3,FALSE)</f>
        <v>42763.39</v>
      </c>
      <c r="I287" s="333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45380.015238499996</v>
      </c>
      <c r="G288" s="286">
        <f>IF(IFERROR(VLOOKUP(E288,Data!$O$23:$P$196,2,FALSE),0)=0,0,(F288-IFERROR(VLOOKUP(E288,Data!$O$23:$P$196,2,FALSE),0))/ABS(IFERROR(VLOOKUP(E288,Data!$O$23:$P$196,2,FALSE),0)))</f>
        <v>-6.7138081165919308E-2</v>
      </c>
      <c r="H288" s="184">
        <f>VLOOKUP(E288,Data!$B$23:$E$273,3,FALSE)</f>
        <v>57747.257279739999</v>
      </c>
      <c r="I288" s="333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49357.900411809998</v>
      </c>
      <c r="G289" s="286">
        <f>IF(IFERROR(VLOOKUP(E289,Data!$O$23:$P$196,2,FALSE),0)=0,0,(F289-IFERROR(VLOOKUP(E289,Data!$O$23:$P$196,2,FALSE),0))/ABS(IFERROR(VLOOKUP(E289,Data!$O$23:$P$196,2,FALSE),0)))</f>
        <v>-0.41042060872320135</v>
      </c>
      <c r="H289" s="184">
        <f>VLOOKUP(E289,Data!$B$23:$E$273,3,FALSE)</f>
        <v>84330.008150740003</v>
      </c>
      <c r="I289" s="333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21271.95978401</v>
      </c>
      <c r="G290" s="286">
        <f>IF(IFERROR(VLOOKUP(E290,Data!$O$23:$P$196,2,FALSE),0)=0,0,(F290-IFERROR(VLOOKUP(E290,Data!$O$23:$P$196,2,FALSE),0))/ABS(IFERROR(VLOOKUP(E290,Data!$O$23:$P$196,2,FALSE),0)))</f>
        <v>-0.13216245035128696</v>
      </c>
      <c r="H290" s="184">
        <f>VLOOKUP(E290,Data!$B$23:$E$273,3,FALSE)</f>
        <v>35813.949999999997</v>
      </c>
      <c r="I290" s="333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41151.731689660002</v>
      </c>
      <c r="G291" s="286">
        <f>IF(IFERROR(VLOOKUP(E291,Data!$O$23:$P$196,2,FALSE),0)=0,0,(F291-IFERROR(VLOOKUP(E291,Data!$O$23:$P$196,2,FALSE),0))/ABS(IFERROR(VLOOKUP(E291,Data!$O$23:$P$196,2,FALSE),0)))</f>
        <v>-2.2575208296671947E-2</v>
      </c>
      <c r="H291" s="184">
        <f>VLOOKUP(E291,Data!$B$23:$E$273,3,FALSE)</f>
        <v>48467.669364840003</v>
      </c>
      <c r="I291" s="333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29142.837923110001</v>
      </c>
      <c r="G292" s="286">
        <f>IF(IFERROR(VLOOKUP(E292,Data!$O$23:$P$196,2,FALSE),0)=0,0,(F292-IFERROR(VLOOKUP(E292,Data!$O$23:$P$196,2,FALSE),0))/ABS(IFERROR(VLOOKUP(E292,Data!$O$23:$P$196,2,FALSE),0)))</f>
        <v>-0.3983316506481665</v>
      </c>
      <c r="H292" s="184">
        <f>VLOOKUP(E292,Data!$B$23:$E$273,3,FALSE)</f>
        <v>71088.506129760004</v>
      </c>
      <c r="I292" s="333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5079.23038249</v>
      </c>
      <c r="G293" s="286">
        <f>IF(IFERROR(VLOOKUP(E293,Data!$O$23:$P$196,2,FALSE),0)=0,0,(F293-IFERROR(VLOOKUP(E293,Data!$O$23:$P$196,2,FALSE),0))/ABS(IFERROR(VLOOKUP(E293,Data!$O$23:$P$196,2,FALSE),0)))</f>
        <v>-0.2528762992027056</v>
      </c>
      <c r="H293" s="184">
        <f>VLOOKUP(E293,Data!$B$23:$E$273,3,FALSE)</f>
        <v>65291.38</v>
      </c>
      <c r="I293" s="333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5000.6083070200002</v>
      </c>
      <c r="G294" s="286">
        <f>IF(IFERROR(VLOOKUP(E294,Data!$O$23:$P$196,2,FALSE),0)=0,0,(F294-IFERROR(VLOOKUP(E294,Data!$O$23:$P$196,2,FALSE),0))/ABS(IFERROR(VLOOKUP(E294,Data!$O$23:$P$196,2,FALSE),0)))</f>
        <v>-0.34553842509524191</v>
      </c>
      <c r="H294" s="184">
        <f>VLOOKUP(E294,Data!$B$23:$E$273,3,FALSE)</f>
        <v>95446.135778840006</v>
      </c>
      <c r="I294" s="333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3"/>
    </row>
    <row r="296" spans="1:9" ht="15" x14ac:dyDescent="0.25">
      <c r="A296" s="332" t="s">
        <v>89</v>
      </c>
      <c r="B296" s="332"/>
      <c r="C296" s="332"/>
      <c r="D296" s="332"/>
      <c r="E296" s="332"/>
      <c r="F296" s="332"/>
      <c r="G296" s="332"/>
      <c r="H296" s="332"/>
      <c r="I296" s="332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3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3116.0844973399999</v>
      </c>
      <c r="G298" s="286">
        <f>IF(IFERROR(VLOOKUP(E298,Data!$O$23:$P$196,2,FALSE),0)=0,0,(F298-IFERROR(VLOOKUP(E298,Data!$O$23:$P$196,2,FALSE),0))/ABS(IFERROR(VLOOKUP(E298,Data!$O$23:$P$196,2,FALSE),0)))</f>
        <v>-0.14330609234561886</v>
      </c>
      <c r="H298" s="184">
        <f>VLOOKUP(E298,Data!$B$23:$E$273,3,FALSE)</f>
        <v>4599.9677435399999</v>
      </c>
      <c r="I298" s="333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671.80403998999998</v>
      </c>
      <c r="G299" s="286">
        <f>IF(IFERROR(VLOOKUP(E299,Data!$O$23:$P$196,2,FALSE),0)=0,0,(F299-IFERROR(VLOOKUP(E299,Data!$O$23:$P$196,2,FALSE),0))/ABS(IFERROR(VLOOKUP(E299,Data!$O$23:$P$196,2,FALSE),0)))</f>
        <v>-0.25077714336567186</v>
      </c>
      <c r="H299" s="184">
        <f>VLOOKUP(E299,Data!$B$23:$E$273,3,FALSE)</f>
        <v>1035.8389392900001</v>
      </c>
      <c r="I299" s="333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485.77160696999999</v>
      </c>
      <c r="G300" s="286">
        <f>IF(IFERROR(VLOOKUP(E300,Data!$O$23:$P$196,2,FALSE),0)=0,0,(F300-IFERROR(VLOOKUP(E300,Data!$O$23:$P$196,2,FALSE),0))/ABS(IFERROR(VLOOKUP(E300,Data!$O$23:$P$196,2,FALSE),0)))</f>
        <v>-0.26548596469112556</v>
      </c>
      <c r="H300" s="184">
        <f>VLOOKUP(E300,Data!$B$23:$E$273,3,FALSE)</f>
        <v>694.66658584000004</v>
      </c>
      <c r="I300" s="333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385.28366152000001</v>
      </c>
      <c r="G301" s="286">
        <f>IF(IFERROR(VLOOKUP(E301,Data!$O$23:$P$196,2,FALSE),0)=0,0,(F301-IFERROR(VLOOKUP(E301,Data!$O$23:$P$196,2,FALSE),0))/ABS(IFERROR(VLOOKUP(E301,Data!$O$23:$P$196,2,FALSE),0)))</f>
        <v>-0.27797362139164106</v>
      </c>
      <c r="H301" s="184">
        <f>VLOOKUP(E301,Data!$B$23:$E$273,3,FALSE)</f>
        <v>597.8558587</v>
      </c>
      <c r="I301" s="333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20451.660737149999</v>
      </c>
      <c r="G302" s="286">
        <f>IF(IFERROR(VLOOKUP(E302,Data!$O$23:$P$196,2,FALSE),0)=0,0,(F302-IFERROR(VLOOKUP(E302,Data!$O$23:$P$196,2,FALSE),0))/ABS(IFERROR(VLOOKUP(E302,Data!$O$23:$P$196,2,FALSE),0)))</f>
        <v>-3.2004103011620072E-2</v>
      </c>
      <c r="H302" s="184">
        <f>VLOOKUP(E302,Data!$B$23:$E$273,3,FALSE)</f>
        <v>42495.61</v>
      </c>
      <c r="I302" s="333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336.16301034999998</v>
      </c>
      <c r="G303" s="286">
        <f>IF(IFERROR(VLOOKUP(E303,Data!$O$23:$P$196,2,FALSE),0)=0,0,(F303-IFERROR(VLOOKUP(E303,Data!$O$23:$P$196,2,FALSE),0))/ABS(IFERROR(VLOOKUP(E303,Data!$O$23:$P$196,2,FALSE),0)))</f>
        <v>-0.11210180400220378</v>
      </c>
      <c r="H303" s="184">
        <f>VLOOKUP(E303,Data!$B$23:$E$273,3,FALSE)</f>
        <v>431.46959335999998</v>
      </c>
      <c r="I303" s="333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591.11777497000003</v>
      </c>
      <c r="G304" s="286">
        <f>IF(IFERROR(VLOOKUP(E304,Data!$O$23:$P$196,2,FALSE),0)=0,0,(F304-IFERROR(VLOOKUP(E304,Data!$O$23:$P$196,2,FALSE),0))/ABS(IFERROR(VLOOKUP(E304,Data!$O$23:$P$196,2,FALSE),0)))</f>
        <v>-0.15691351616844451</v>
      </c>
      <c r="H304" s="184">
        <f>VLOOKUP(E304,Data!$B$23:$E$273,3,FALSE)</f>
        <v>738.92755879000003</v>
      </c>
      <c r="I304" s="333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3"/>
    </row>
    <row r="306" spans="1:9" ht="15" x14ac:dyDescent="0.25">
      <c r="A306" s="332" t="s">
        <v>104</v>
      </c>
      <c r="B306" s="332"/>
      <c r="C306" s="332"/>
      <c r="D306" s="332"/>
      <c r="E306" s="332"/>
      <c r="F306" s="332"/>
      <c r="G306" s="332"/>
      <c r="H306" s="332"/>
      <c r="I306" s="332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19.4656898</v>
      </c>
      <c r="G307" s="286">
        <f>IF(IFERROR(VLOOKUP(E307,Data!$O$23:$P$196,2,FALSE),0)=0,0,(F307-IFERROR(VLOOKUP(E307,Data!$O$23:$P$196,2,FALSE),0))/ABS(IFERROR(VLOOKUP(E307,Data!$O$23:$P$196,2,FALSE),0)))</f>
        <v>-0.11857419851532949</v>
      </c>
      <c r="H307" s="184">
        <f>VLOOKUP(E307,Data!$B$23:$E$273,3,FALSE)</f>
        <v>146.47999999999999</v>
      </c>
      <c r="I307" s="333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8717.8952440100002</v>
      </c>
      <c r="G308" s="286">
        <f>IF(IFERROR(VLOOKUP(E308,Data!$O$23:$P$196,2,FALSE),0)=0,0,(F308-IFERROR(VLOOKUP(E308,Data!$O$23:$P$196,2,FALSE),0))/ABS(IFERROR(VLOOKUP(E308,Data!$O$23:$P$196,2,FALSE),0)))</f>
        <v>2.1921656315262845E-2</v>
      </c>
      <c r="H308" s="184">
        <f>VLOOKUP(E308,Data!$B$23:$E$273,3,FALSE)</f>
        <v>12608.67</v>
      </c>
      <c r="I308" s="333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3"/>
    </row>
    <row r="310" spans="1:9" ht="15" x14ac:dyDescent="0.25">
      <c r="A310" s="332" t="s">
        <v>109</v>
      </c>
      <c r="B310" s="332"/>
      <c r="C310" s="332"/>
      <c r="D310" s="332"/>
      <c r="E310" s="332"/>
      <c r="F310" s="332"/>
      <c r="G310" s="332"/>
      <c r="H310" s="332"/>
      <c r="I310" s="332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3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3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988.67880700000001</v>
      </c>
      <c r="G313" s="286">
        <f>IF(IFERROR(VLOOKUP(E313,Data!$O$23:$P$196,2,FALSE),0)=0,0,(F313-IFERROR(VLOOKUP(E313,Data!$O$23:$P$196,2,FALSE),0))/ABS(IFERROR(VLOOKUP(E313,Data!$O$23:$P$196,2,FALSE),0)))</f>
        <v>-0.16404529389526532</v>
      </c>
      <c r="H313" s="184">
        <f>VLOOKUP(E313,Data!$B$23:$E$273,3,FALSE)</f>
        <v>5041.9399999999996</v>
      </c>
      <c r="I313" s="333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6"/>
      <c r="G314" s="289"/>
      <c r="H314" s="289"/>
      <c r="I314" s="289"/>
    </row>
    <row r="315" spans="1:9" ht="13.5" thickTop="1" x14ac:dyDescent="0.2">
      <c r="A315" s="365" t="s">
        <v>533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Nov 2018</v>
      </c>
      <c r="E347" s="377" t="s">
        <v>204</v>
      </c>
      <c r="F347" s="377"/>
      <c r="G347" s="377"/>
      <c r="H347" s="377"/>
      <c r="I347" s="125"/>
    </row>
    <row r="348" spans="1:9" ht="13.5" thickBot="1" x14ac:dyDescent="0.25">
      <c r="A348" s="116"/>
      <c r="B348" s="116"/>
      <c r="C348" s="116"/>
      <c r="D348" s="116"/>
      <c r="E348" s="390"/>
      <c r="F348" s="390"/>
      <c r="G348" s="390"/>
      <c r="H348" s="390"/>
      <c r="I348" s="116"/>
    </row>
    <row r="349" spans="1:9" ht="15" x14ac:dyDescent="0.25">
      <c r="A349" s="281"/>
      <c r="B349" s="337"/>
      <c r="C349" s="281"/>
      <c r="D349" s="382" t="str">
        <f>TEXT(DATE(2000,TEXT(H3,"M")-1,1),"mmm")&amp; " "&amp; TEXT(H3,"YYYY")</f>
        <v>Oct 2018</v>
      </c>
      <c r="E349" s="382"/>
      <c r="F349" s="280" t="s">
        <v>27</v>
      </c>
      <c r="G349" s="310"/>
      <c r="H349" s="281"/>
      <c r="I349" s="280" t="s">
        <v>27</v>
      </c>
    </row>
    <row r="350" spans="1:9" ht="15" x14ac:dyDescent="0.25">
      <c r="A350" s="281"/>
      <c r="B350" s="337"/>
      <c r="C350" s="281"/>
      <c r="D350" s="383"/>
      <c r="E350" s="383"/>
      <c r="F350" s="280" t="s">
        <v>38</v>
      </c>
      <c r="G350" s="310"/>
      <c r="H350" s="281"/>
      <c r="I350" s="280" t="s">
        <v>147</v>
      </c>
    </row>
    <row r="351" spans="1:9" ht="15.75" thickBot="1" x14ac:dyDescent="0.3">
      <c r="A351" s="295"/>
      <c r="B351" s="338"/>
      <c r="C351" s="338" t="str">
        <f>TEXT($H$3,"MMM")&amp;" "&amp;TEXT($H$3,"YYYY")</f>
        <v>Nov 2018</v>
      </c>
      <c r="D351" s="384"/>
      <c r="E351" s="384"/>
      <c r="F351" s="284" t="s">
        <v>1</v>
      </c>
      <c r="G351" s="330"/>
      <c r="H351" s="338" t="str">
        <f>TEXT($H$3,"MMM")&amp;" "&amp;TEXT($H$3,"YYYY")-1</f>
        <v>Nov 2017</v>
      </c>
      <c r="I351" s="284" t="s">
        <v>28</v>
      </c>
    </row>
    <row r="352" spans="1:9" ht="15" x14ac:dyDescent="0.25">
      <c r="A352" s="332" t="s">
        <v>117</v>
      </c>
      <c r="B352" s="332"/>
      <c r="C352" s="332"/>
      <c r="D352" s="332"/>
      <c r="E352" s="332"/>
      <c r="F352" s="332"/>
      <c r="G352" s="332"/>
      <c r="H352" s="332"/>
      <c r="I352" s="332"/>
    </row>
    <row r="353" spans="1:9" ht="14.25" x14ac:dyDescent="0.2">
      <c r="A353" s="339" t="s">
        <v>14</v>
      </c>
      <c r="B353" s="248"/>
      <c r="C353" s="248"/>
      <c r="D353" s="380"/>
      <c r="E353" s="380"/>
      <c r="F353" s="248"/>
      <c r="G353" s="248"/>
      <c r="H353" s="248"/>
      <c r="I353" s="248"/>
    </row>
    <row r="354" spans="1:9" ht="14.25" x14ac:dyDescent="0.2">
      <c r="A354" s="248" t="s">
        <v>446</v>
      </c>
      <c r="B354" s="249"/>
      <c r="C354" s="249">
        <f>SUMIFS(Data!$V$2:$V$15,Data!$S$2:$S$15,MarketProfile!A354,Data!$X$2:$X$15,"1")</f>
        <v>328017</v>
      </c>
      <c r="D354" s="380">
        <f>SUMIFS(Data!$V$33:$V$48,Data!$S$33:$S$48,MarketProfile!A354,Data!$X$33:$X$48,"1")</f>
        <v>231904</v>
      </c>
      <c r="E354" s="380"/>
      <c r="F354" s="286">
        <f>IFERROR(IF(OR(AND(D354="",C354=""),AND(D354=0,C354=0)),"",
IF(OR(D354="",D354=0),1,
IF(OR(D354&lt;&gt;"",D354&lt;&gt;0),(C354-D354)/ABS(D354)))),-1)</f>
        <v>0.41445166965640956</v>
      </c>
      <c r="G354" s="380">
        <f>SUMIFS(Data!$V$63:$V$78,Data!$S$63:$S$78,MarketProfile!A354,Data!$X$63:$X$78,"1")</f>
        <v>235349</v>
      </c>
      <c r="H354" s="380"/>
      <c r="I354" s="286">
        <f t="shared" ref="I354:I367" si="22">IFERROR(IF(OR(AND(G354="",C354=""),AND(G354=0,C354=0)),"",
IF(OR(G354="",G354=0),1,
IF(OR(G354&lt;&gt;"",G354&lt;&gt;0),(C354-G354)/ABS(G354)))),-1)</f>
        <v>0.39374715847528563</v>
      </c>
    </row>
    <row r="355" spans="1:9" ht="14.25" x14ac:dyDescent="0.2">
      <c r="A355" s="248" t="s">
        <v>447</v>
      </c>
      <c r="B355" s="249"/>
      <c r="C355" s="249">
        <f>SUMIFS(Data!$V$2:$V$15,Data!$S$2:$S$15,MarketProfile!A355,Data!$X$2:$X$15,"1")</f>
        <v>4414</v>
      </c>
      <c r="D355" s="380">
        <f>SUMIFS(Data!$V$33:$V$48,Data!$S$33:$S$48,MarketProfile!A355,Data!$X$33:$X$48,"1")</f>
        <v>3480</v>
      </c>
      <c r="E355" s="380"/>
      <c r="F355" s="286">
        <f t="shared" ref="F355:F361" si="23">IFERROR(IF(OR(AND(D355="",C355=""),AND(D355=0,C355=0)),"",
IF(OR(D355="",D355=0),1,
IF(OR(D355&lt;&gt;"",D355&lt;&gt;0),(C355-D355)/ABS(D355)))),-1)</f>
        <v>0.26839080459770115</v>
      </c>
      <c r="G355" s="380">
        <f>SUMIFS(Data!$V$63:$V$78,Data!$S$63:$S$78,MarketProfile!A355,Data!$X$63:$X$78,"1")</f>
        <v>4258</v>
      </c>
      <c r="H355" s="380"/>
      <c r="I355" s="286">
        <f t="shared" si="22"/>
        <v>3.6636918741193049E-2</v>
      </c>
    </row>
    <row r="356" spans="1:9" ht="14.25" x14ac:dyDescent="0.2">
      <c r="A356" s="248" t="s">
        <v>448</v>
      </c>
      <c r="B356" s="249"/>
      <c r="C356" s="249">
        <f>SUMIFS(Data!$V$2:$V$15,Data!$S$2:$S$15,MarketProfile!A356,Data!$X$2:$X$15,"1")</f>
        <v>4298</v>
      </c>
      <c r="D356" s="380">
        <f>SUMIFS(Data!$V$33:$V$48,Data!$S$33:$S$48,MarketProfile!A356,Data!$X$33:$X$48,"1")</f>
        <v>3149</v>
      </c>
      <c r="E356" s="380"/>
      <c r="F356" s="286">
        <f t="shared" si="23"/>
        <v>0.36487773896475073</v>
      </c>
      <c r="G356" s="380">
        <f>SUMIFS(Data!$V$63:$V$78,Data!$S$63:$S$78,MarketProfile!A356,Data!$X$63:$X$78,"1")</f>
        <v>3871</v>
      </c>
      <c r="H356" s="380"/>
      <c r="I356" s="286">
        <f t="shared" si="22"/>
        <v>0.11030741410488246</v>
      </c>
    </row>
    <row r="357" spans="1:9" ht="14.25" x14ac:dyDescent="0.2">
      <c r="A357" s="248" t="s">
        <v>182</v>
      </c>
      <c r="B357" s="249"/>
      <c r="C357" s="249">
        <f>SUMIFS(Data!$V$2:$V$15,Data!$S$2:$S$15,MarketProfile!A357,Data!$X$2:$X$15,"1")</f>
        <v>142</v>
      </c>
      <c r="D357" s="380">
        <f>SUMIFS(Data!$V$33:$V$48,Data!$S$33:$S$48,MarketProfile!A357,Data!$X$33:$X$48,"1")</f>
        <v>362</v>
      </c>
      <c r="E357" s="380"/>
      <c r="F357" s="286">
        <f t="shared" si="23"/>
        <v>-0.60773480662983426</v>
      </c>
      <c r="G357" s="380">
        <f>SUMIFS(Data!$V$63:$V$78,Data!$S$63:$S$78,MarketProfile!A357,Data!$X$63:$X$78,"1")</f>
        <v>568</v>
      </c>
      <c r="H357" s="380"/>
      <c r="I357" s="286">
        <f t="shared" si="22"/>
        <v>-0.75</v>
      </c>
    </row>
    <row r="358" spans="1:9" ht="14.25" x14ac:dyDescent="0.2">
      <c r="A358" s="248" t="s">
        <v>449</v>
      </c>
      <c r="B358" s="249"/>
      <c r="C358" s="249">
        <f>SUMIFS(Data!$V$2:$V$15,Data!$S$2:$S$15,MarketProfile!A358,Data!$X$2:$X$15,"1")</f>
        <v>72</v>
      </c>
      <c r="D358" s="380">
        <f>SUMIFS(Data!$V$33:$V$48,Data!$S$33:$S$48,MarketProfile!A358,Data!$X$33:$X$48,"1")</f>
        <v>186</v>
      </c>
      <c r="E358" s="380"/>
      <c r="F358" s="286">
        <f t="shared" si="23"/>
        <v>-0.61290322580645162</v>
      </c>
      <c r="G358" s="380">
        <f>SUMIFS(Data!$V$63:$V$78,Data!$S$63:$S$78,MarketProfile!A358,Data!$X$63:$X$78,"1")</f>
        <v>159</v>
      </c>
      <c r="H358" s="380"/>
      <c r="I358" s="286">
        <f t="shared" si="22"/>
        <v>-0.54716981132075471</v>
      </c>
    </row>
    <row r="359" spans="1:9" ht="14.25" x14ac:dyDescent="0.2">
      <c r="A359" s="248" t="s">
        <v>450</v>
      </c>
      <c r="B359" s="249"/>
      <c r="C359" s="249">
        <f>SUMIFS(Data!$V$2:$V$15,Data!$S$2:$S$15,MarketProfile!A359,Data!$X$2:$X$15,"1")</f>
        <v>73</v>
      </c>
      <c r="D359" s="380">
        <f>SUMIFS(Data!$V$33:$V$48,Data!$S$33:$S$48,MarketProfile!A359,Data!$X$33:$X$48,"1")</f>
        <v>177</v>
      </c>
      <c r="E359" s="380"/>
      <c r="F359" s="286">
        <f t="shared" si="23"/>
        <v>-0.58757062146892658</v>
      </c>
      <c r="G359" s="380">
        <f>SUMIFS(Data!$V$63:$V$78,Data!$S$63:$S$78,MarketProfile!A359,Data!$X$63:$X$78,"1")</f>
        <v>142</v>
      </c>
      <c r="H359" s="380"/>
      <c r="I359" s="286">
        <f t="shared" si="22"/>
        <v>-0.4859154929577465</v>
      </c>
    </row>
    <row r="360" spans="1:9" ht="14.25" x14ac:dyDescent="0.2">
      <c r="A360" s="248" t="s">
        <v>451</v>
      </c>
      <c r="B360" s="249"/>
      <c r="C360" s="249">
        <f>SUMIFS(Data!$V$2:$V$15,Data!$S$2:$S$15,MarketProfile!A360,Data!$X$2:$X$15,"1")</f>
        <v>68</v>
      </c>
      <c r="D360" s="380">
        <f>SUMIFS(Data!$V$33:$V$48,Data!$S$33:$S$48,MarketProfile!A360,Data!$X$33:$X$48,"1")</f>
        <v>366</v>
      </c>
      <c r="E360" s="380"/>
      <c r="F360" s="286">
        <f t="shared" si="23"/>
        <v>-0.81420765027322406</v>
      </c>
      <c r="G360" s="380">
        <f>SUMIFS(Data!$V$63:$V$78,Data!$S$63:$S$78,MarketProfile!A360,Data!$X$63:$X$78,"1")</f>
        <v>212</v>
      </c>
      <c r="H360" s="380"/>
      <c r="I360" s="286">
        <f t="shared" si="22"/>
        <v>-0.67924528301886788</v>
      </c>
    </row>
    <row r="361" spans="1:9" ht="15" x14ac:dyDescent="0.25">
      <c r="A361" s="288" t="s">
        <v>133</v>
      </c>
      <c r="B361" s="250"/>
      <c r="C361" s="250">
        <f>SUM(C354:C360)</f>
        <v>337084</v>
      </c>
      <c r="D361" s="381">
        <f>SUM(D354:E360)</f>
        <v>239624</v>
      </c>
      <c r="E361" s="381"/>
      <c r="F361" s="326">
        <f t="shared" si="23"/>
        <v>0.40672052882849796</v>
      </c>
      <c r="G361" s="381">
        <f>SUM(G354:H360)</f>
        <v>244559</v>
      </c>
      <c r="H361" s="381">
        <v>228310</v>
      </c>
      <c r="I361" s="326">
        <f t="shared" si="22"/>
        <v>0.37833406253705648</v>
      </c>
    </row>
    <row r="362" spans="1:9" ht="14.25" x14ac:dyDescent="0.2">
      <c r="A362" s="248"/>
      <c r="B362" s="249"/>
      <c r="C362" s="249"/>
      <c r="D362" s="380"/>
      <c r="E362" s="380"/>
      <c r="F362" s="286"/>
      <c r="G362" s="248"/>
      <c r="H362" s="249"/>
      <c r="I362" s="286" t="str">
        <f t="shared" si="22"/>
        <v/>
      </c>
    </row>
    <row r="363" spans="1:9" ht="15" x14ac:dyDescent="0.25">
      <c r="A363" s="339" t="s">
        <v>206</v>
      </c>
      <c r="B363" s="250"/>
      <c r="C363" s="250"/>
      <c r="D363" s="380"/>
      <c r="E363" s="380"/>
      <c r="F363" s="286"/>
      <c r="G363" s="248"/>
      <c r="H363" s="250"/>
      <c r="I363" s="326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424</v>
      </c>
      <c r="D364" s="380">
        <f>SUMIFS(Data!$V$33:$V$48,Data!$S$33:$S$48,MarketProfile!A364,Data!$X$33:$X$48,"0")</f>
        <v>741</v>
      </c>
      <c r="E364" s="380"/>
      <c r="F364" s="286">
        <f t="shared" ref="F364:F368" si="24">IFERROR(IF(OR(AND(D364="",C364=""),AND(D364=0,C364=0)),"",
IF(OR(D364="",D364=0),1,
IF(OR(D364&lt;&gt;"",D364&lt;&gt;0),(C364-D364)/ABS(D364)))),-1)</f>
        <v>-0.42780026990553305</v>
      </c>
      <c r="G364" s="380">
        <f>SUMIFS(Data!$V$63:$V$78,Data!$S$63:$S$78,MarketProfile!A364,Data!$X$63:$X$78,"0")</f>
        <v>552</v>
      </c>
      <c r="H364" s="380"/>
      <c r="I364" s="286">
        <f t="shared" si="22"/>
        <v>-0.2318840579710145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304</v>
      </c>
      <c r="D365" s="380">
        <f>SUMIFS(Data!$V$33:$V$48,Data!$S$33:$S$48,MarketProfile!A365,Data!$X$33:$X$48,"0")</f>
        <v>411</v>
      </c>
      <c r="E365" s="380"/>
      <c r="F365" s="286">
        <f t="shared" si="24"/>
        <v>-0.26034063260340634</v>
      </c>
      <c r="G365" s="380">
        <f>SUMIFS(Data!$V$63:$V$78,Data!$S$63:$S$78,MarketProfile!A365,Data!$X$63:$X$78,"0")</f>
        <v>653</v>
      </c>
      <c r="H365" s="380"/>
      <c r="I365" s="286">
        <f t="shared" si="22"/>
        <v>-0.53445635528330782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26</v>
      </c>
      <c r="D366" s="380">
        <f>SUMIFS(Data!$V$33:$V$48,Data!$S$33:$S$48,MarketProfile!A366,Data!$X$33:$X$48,"0")</f>
        <v>157</v>
      </c>
      <c r="E366" s="380"/>
      <c r="F366" s="286">
        <f t="shared" si="24"/>
        <v>-0.83439490445859876</v>
      </c>
      <c r="G366" s="380">
        <f>SUMIFS(Data!$V$63:$V$78,Data!$S$63:$S$78,MarketProfile!A366,Data!$X$63:$X$78,"0")</f>
        <v>238</v>
      </c>
      <c r="H366" s="380"/>
      <c r="I366" s="286">
        <f t="shared" si="22"/>
        <v>-0.89075630252100846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380">
        <f>SUMIFS(Data!$V$33:$V$48,Data!$S$33:$S$48,MarketProfile!A367,Data!$X$33:$X$48,"0")</f>
        <v>0</v>
      </c>
      <c r="E367" s="380"/>
      <c r="F367" s="286" t="str">
        <f t="shared" si="24"/>
        <v/>
      </c>
      <c r="G367" s="380">
        <f>SUMIFS(Data!$V$63:$V$78,Data!$S$63:$S$78,MarketProfile!A367,Data!$X$63:$X$78,"0")</f>
        <v>0</v>
      </c>
      <c r="H367" s="380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754</v>
      </c>
      <c r="D368" s="381">
        <f t="shared" ref="D368:E368" si="25">SUM(D364:D367)</f>
        <v>1309</v>
      </c>
      <c r="E368" s="381">
        <f t="shared" si="25"/>
        <v>0</v>
      </c>
      <c r="F368" s="326">
        <f t="shared" si="24"/>
        <v>-0.4239877769289534</v>
      </c>
      <c r="G368" s="381">
        <f>SUM(G364:H367)</f>
        <v>1443</v>
      </c>
      <c r="H368" s="381">
        <v>1646</v>
      </c>
      <c r="I368" s="326">
        <f>IFERROR(IF(OR(AND(G368="",C368=""),AND(G368=0,C368=0)),"",
IF(OR(G368="",G368=0),1,
IF(OR(G368&lt;&gt;"",G368&lt;&gt;0),(C368-G368)/ABS(G368)))),-1)</f>
        <v>-0.47747747747747749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2" t="s">
        <v>207</v>
      </c>
      <c r="B370" s="332"/>
      <c r="C370" s="332"/>
      <c r="D370" s="332"/>
      <c r="E370" s="332"/>
      <c r="F370" s="340"/>
      <c r="G370" s="332"/>
      <c r="H370" s="332"/>
      <c r="I370" s="340"/>
    </row>
    <row r="371" spans="1:9" ht="14.25" x14ac:dyDescent="0.2">
      <c r="A371" s="339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249"/>
      <c r="C372" s="249">
        <f>SUMIFS(Data!$U$2:$U$15,Data!$S$2:$S$15,MarketProfile!A372,Data!$X$2:$X$15,"1")</f>
        <v>1013902</v>
      </c>
      <c r="D372" s="380">
        <f>SUMIFS(Data!$U$33:$U$48,Data!$S$33:$S$48,MarketProfile!A372,Data!$X$33:$X$48,"1")</f>
        <v>888403</v>
      </c>
      <c r="E372" s="380"/>
      <c r="F372" s="286">
        <f t="shared" ref="F372:F379" si="26">IFERROR(IF(OR(AND(D372="",C372=""),AND(D372=0,C372=0)),"",
IF(OR(D372="",D372=0),1,
IF(OR(D372&lt;&gt;"",D372&lt;&gt;0),(C372-D372)/ABS(D372)))),-1)</f>
        <v>0.14126359321163931</v>
      </c>
      <c r="G372" s="380">
        <f>SUMIFS(Data!$U$63:$U$78,Data!$S$63:$S$78,MarketProfile!A372,Data!$X$63:$X$78,"1")</f>
        <v>926523</v>
      </c>
      <c r="H372" s="380"/>
      <c r="I372" s="286">
        <f t="shared" ref="I372:I379" si="27">IFERROR(IF(OR(AND(G372="",C372=""),AND(G372=0,C372=0)),"",
IF(OR(G372="",G372=0),1,
IF(OR(G372&lt;&gt;"",G372&lt;&gt;0),(C372-G372)/ABS(G372)))),-1)</f>
        <v>9.4308506102924586E-2</v>
      </c>
    </row>
    <row r="373" spans="1:9" ht="14.25" x14ac:dyDescent="0.2">
      <c r="A373" s="248" t="s">
        <v>447</v>
      </c>
      <c r="B373" s="249"/>
      <c r="C373" s="249">
        <f>SUMIFS(Data!$U$2:$U$15,Data!$S$2:$S$15,MarketProfile!A373,Data!$X$2:$X$15,"1")</f>
        <v>617448</v>
      </c>
      <c r="D373" s="380">
        <f>SUMIFS(Data!$U$33:$U$48,Data!$S$33:$S$48,MarketProfile!A373,Data!$X$33:$X$48,"1")</f>
        <v>563214</v>
      </c>
      <c r="E373" s="380"/>
      <c r="F373" s="286">
        <f t="shared" si="26"/>
        <v>9.6293771106542095E-2</v>
      </c>
      <c r="G373" s="380">
        <f>SUMIFS(Data!$U$63:$U$78,Data!$S$63:$S$78,MarketProfile!A373,Data!$X$63:$X$78,"1")</f>
        <v>1463689</v>
      </c>
      <c r="H373" s="380"/>
      <c r="I373" s="286">
        <f t="shared" si="27"/>
        <v>-0.57815628866514679</v>
      </c>
    </row>
    <row r="374" spans="1:9" ht="14.25" x14ac:dyDescent="0.2">
      <c r="A374" s="248" t="s">
        <v>448</v>
      </c>
      <c r="B374" s="249"/>
      <c r="C374" s="249">
        <f>SUMIFS(Data!$U$2:$U$15,Data!$S$2:$S$15,MarketProfile!A374,Data!$X$2:$X$15,"1")</f>
        <v>679735</v>
      </c>
      <c r="D374" s="380">
        <f>SUMIFS(Data!$U$33:$U$48,Data!$S$33:$S$48,MarketProfile!A374,Data!$X$33:$X$48,"1")</f>
        <v>256705</v>
      </c>
      <c r="E374" s="380"/>
      <c r="F374" s="286">
        <f t="shared" si="26"/>
        <v>1.6479227128415885</v>
      </c>
      <c r="G374" s="380">
        <f>SUMIFS(Data!$U$63:$U$78,Data!$S$63:$S$78,MarketProfile!A374,Data!$X$63:$X$78,"1")</f>
        <v>452104</v>
      </c>
      <c r="H374" s="380"/>
      <c r="I374" s="286">
        <f t="shared" si="27"/>
        <v>0.50349255923415848</v>
      </c>
    </row>
    <row r="375" spans="1:9" ht="14.25" x14ac:dyDescent="0.2">
      <c r="A375" s="248" t="s">
        <v>182</v>
      </c>
      <c r="B375" s="249"/>
      <c r="C375" s="249">
        <f>SUMIFS(Data!$U$2:$U$15,Data!$S$2:$S$15,MarketProfile!A375,Data!$X$2:$X$15,"1")</f>
        <v>1851127</v>
      </c>
      <c r="D375" s="380">
        <f>SUMIFS(Data!$U$33:$U$48,Data!$S$33:$S$48,MarketProfile!A375,Data!$X$33:$X$48,"1")</f>
        <v>1063504</v>
      </c>
      <c r="E375" s="380"/>
      <c r="F375" s="286">
        <f t="shared" si="26"/>
        <v>0.74059241902240147</v>
      </c>
      <c r="G375" s="380">
        <f>SUMIFS(Data!$U$63:$U$78,Data!$S$63:$S$78,MarketProfile!A375,Data!$X$63:$X$78,"1")</f>
        <v>958648</v>
      </c>
      <c r="H375" s="380"/>
      <c r="I375" s="286">
        <f t="shared" si="27"/>
        <v>0.93097675059041485</v>
      </c>
    </row>
    <row r="376" spans="1:9" ht="14.25" x14ac:dyDescent="0.2">
      <c r="A376" s="248" t="s">
        <v>449</v>
      </c>
      <c r="B376" s="249"/>
      <c r="C376" s="249">
        <f>SUMIFS(Data!$U$2:$U$15,Data!$S$2:$S$15,MarketProfile!A376,Data!$X$2:$X$15,"1")</f>
        <v>249601</v>
      </c>
      <c r="D376" s="380">
        <f>SUMIFS(Data!$U$33:$U$48,Data!$S$33:$S$48,MarketProfile!A376,Data!$X$33:$X$48,"1")</f>
        <v>1182098</v>
      </c>
      <c r="E376" s="380"/>
      <c r="F376" s="286">
        <f t="shared" si="26"/>
        <v>-0.7888491478709887</v>
      </c>
      <c r="G376" s="380">
        <f>SUMIFS(Data!$U$63:$U$78,Data!$S$63:$S$78,MarketProfile!A376,Data!$X$63:$X$78,"1")</f>
        <v>2716798</v>
      </c>
      <c r="H376" s="380"/>
      <c r="I376" s="286">
        <f t="shared" si="27"/>
        <v>-0.90812677276705889</v>
      </c>
    </row>
    <row r="377" spans="1:9" ht="14.25" x14ac:dyDescent="0.2">
      <c r="A377" s="248" t="s">
        <v>450</v>
      </c>
      <c r="B377" s="249"/>
      <c r="C377" s="249">
        <f>SUMIFS(Data!$U$2:$U$15,Data!$S$2:$S$15,MarketProfile!A377,Data!$X$2:$X$15,"1")</f>
        <v>235361</v>
      </c>
      <c r="D377" s="380">
        <f>SUMIFS(Data!$U$33:$U$48,Data!$S$33:$S$48,MarketProfile!A377,Data!$X$33:$X$48,"1")</f>
        <v>950585</v>
      </c>
      <c r="E377" s="380"/>
      <c r="F377" s="286">
        <f t="shared" si="26"/>
        <v>-0.75240404592961174</v>
      </c>
      <c r="G377" s="380">
        <f>SUMIFS(Data!$U$63:$U$78,Data!$S$63:$S$78,MarketProfile!A377,Data!$X$63:$X$78,"1")</f>
        <v>2336589</v>
      </c>
      <c r="H377" s="380"/>
      <c r="I377" s="286">
        <f t="shared" si="27"/>
        <v>-0.89927154497431938</v>
      </c>
    </row>
    <row r="378" spans="1:9" ht="14.25" x14ac:dyDescent="0.2">
      <c r="A378" s="248" t="s">
        <v>451</v>
      </c>
      <c r="B378" s="249"/>
      <c r="C378" s="249">
        <f>SUMIFS(Data!$U$2:$U$15,Data!$S$2:$S$15,MarketProfile!A378,Data!$X$2:$X$15,"1")</f>
        <v>70686</v>
      </c>
      <c r="D378" s="380">
        <f>SUMIFS(Data!$U$33:$U$48,Data!$S$33:$S$48,MarketProfile!A378,Data!$X$33:$X$48,"1")</f>
        <v>229356</v>
      </c>
      <c r="E378" s="380"/>
      <c r="F378" s="286">
        <f t="shared" si="26"/>
        <v>-0.69180662376393032</v>
      </c>
      <c r="G378" s="380">
        <f>SUMIFS(Data!$U$63:$U$78,Data!$S$63:$S$78,MarketProfile!A378,Data!$X$63:$X$78,"1")</f>
        <v>106910</v>
      </c>
      <c r="H378" s="380"/>
      <c r="I378" s="286">
        <f t="shared" si="27"/>
        <v>-0.33882705079038444</v>
      </c>
    </row>
    <row r="379" spans="1:9" ht="15" x14ac:dyDescent="0.25">
      <c r="A379" s="288" t="s">
        <v>133</v>
      </c>
      <c r="B379" s="250"/>
      <c r="C379" s="250">
        <f>SUM(C372:C378)</f>
        <v>4717860</v>
      </c>
      <c r="D379" s="381">
        <f>SUM(D372:E378)</f>
        <v>5133865</v>
      </c>
      <c r="E379" s="381"/>
      <c r="F379" s="326">
        <f t="shared" si="26"/>
        <v>-8.1031542512317714E-2</v>
      </c>
      <c r="G379" s="381">
        <f>SUM(G372:H378)</f>
        <v>8961261</v>
      </c>
      <c r="H379" s="381">
        <v>17193059</v>
      </c>
      <c r="I379" s="326">
        <f t="shared" si="27"/>
        <v>-0.47352721899295197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9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</f>
        <v>305566</v>
      </c>
      <c r="D382" s="380">
        <f>SUMIFS(Data!$U$33:$U$48,Data!$S$33:$S$48,MarketProfile!A382,Data!$X$33:$X$48,"0")</f>
        <v>400869</v>
      </c>
      <c r="E382" s="380"/>
      <c r="F382" s="286">
        <f t="shared" ref="F382:F386" si="28">IFERROR(IF(OR(AND(D382="",C382=""),AND(D382=0,C382=0)),"",
IF(OR(D382="",D382=0),1,
IF(OR(D382&lt;&gt;"",D382&lt;&gt;0),(C382-D382)/ABS(D382)))),-1)</f>
        <v>-0.23774100766085679</v>
      </c>
      <c r="G382" s="380">
        <f>SUMIFS(Data!$U$63:$U$78,Data!$S$63:$S$78,MarketProfile!A382,Data!$X$63:$X$78,"0")</f>
        <v>421785</v>
      </c>
      <c r="H382" s="380"/>
      <c r="I382" s="286">
        <f t="shared" ref="I382:I386" si="29">IFERROR(IF(OR(AND(G382="",C382=""),AND(G382=0,C382=0)),"",
IF(OR(G382="",G382=0),1,
IF(OR(G382&lt;&gt;"",G382&lt;&gt;0),(C382-G382)/ABS(G382)))),-1)</f>
        <v>-0.27554085612338042</v>
      </c>
    </row>
    <row r="383" spans="1:9" ht="14.25" x14ac:dyDescent="0.2">
      <c r="A383" s="248" t="s">
        <v>447</v>
      </c>
      <c r="B383" s="249"/>
      <c r="C383" s="249">
        <f>SUMIFS(Data!$U$2:$U$15,Data!$S$2:$S$15,MarketProfile!A383,Data!$X$2:$X$15,"0")</f>
        <v>430735</v>
      </c>
      <c r="D383" s="380">
        <f>SUMIFS(Data!$U$33:$U$48,Data!$S$33:$S$48,MarketProfile!A383,Data!$X$33:$X$48,"0")</f>
        <v>585149</v>
      </c>
      <c r="E383" s="380"/>
      <c r="F383" s="286">
        <f t="shared" si="28"/>
        <v>-0.26388834296905572</v>
      </c>
      <c r="G383" s="380">
        <f>SUMIFS(Data!$U$63:$U$78,Data!$S$63:$S$78,MarketProfile!A383,Data!$X$63:$X$78,"0")</f>
        <v>843421</v>
      </c>
      <c r="H383" s="380"/>
      <c r="I383" s="286">
        <f t="shared" si="29"/>
        <v>-0.48930012413729324</v>
      </c>
    </row>
    <row r="384" spans="1:9" ht="14.25" x14ac:dyDescent="0.2">
      <c r="A384" s="248" t="s">
        <v>451</v>
      </c>
      <c r="B384" s="249"/>
      <c r="C384" s="249">
        <f>SUMIFS(Data!$U$2:$U$15,Data!$S$2:$S$15,MarketProfile!A384,Data!$X$2:$X$15,"0")</f>
        <v>9367</v>
      </c>
      <c r="D384" s="380">
        <f>SUMIFS(Data!$U$33:$U$48,Data!$S$33:$S$48,MarketProfile!A384,Data!$X$33:$X$48,"0")</f>
        <v>116891</v>
      </c>
      <c r="E384" s="380"/>
      <c r="F384" s="286">
        <f t="shared" si="28"/>
        <v>-0.91986551573688313</v>
      </c>
      <c r="G384" s="380">
        <f>SUMIFS(Data!$U$63:$U$78,Data!$S$63:$S$78,MarketProfile!A384,Data!$X$63:$X$78,"0")</f>
        <v>229143</v>
      </c>
      <c r="H384" s="380"/>
      <c r="I384" s="286">
        <f t="shared" si="29"/>
        <v>-0.95912159655760809</v>
      </c>
    </row>
    <row r="385" spans="1:9" ht="14.25" x14ac:dyDescent="0.2">
      <c r="A385" s="248" t="s">
        <v>448</v>
      </c>
      <c r="B385" s="249"/>
      <c r="C385" s="249">
        <f>SUMIFS(Data!$U$2:$U$15,Data!$S$2:$S$15,MarketProfile!A385,Data!$X$2:$X$15,"0")</f>
        <v>0</v>
      </c>
      <c r="D385" s="380">
        <f>SUMIFS(Data!$U$33:$U$48,Data!$S$33:$S$48,MarketProfile!A385,Data!$X$33:$X$48,"0")</f>
        <v>0</v>
      </c>
      <c r="E385" s="380"/>
      <c r="F385" s="286" t="str">
        <f t="shared" si="28"/>
        <v/>
      </c>
      <c r="G385" s="380">
        <f>SUMIFS(Data!$U$63:$U$78,Data!$S$63:$S$78,MarketProfile!A385,Data!$X$63:$X$78,"0")</f>
        <v>0</v>
      </c>
      <c r="H385" s="380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745668</v>
      </c>
      <c r="D386" s="381">
        <f>SUM(D382:E385)</f>
        <v>1102909</v>
      </c>
      <c r="E386" s="381">
        <f>SUM(E382:E385)</f>
        <v>0</v>
      </c>
      <c r="F386" s="326">
        <f t="shared" si="28"/>
        <v>-0.32390795614144052</v>
      </c>
      <c r="G386" s="381">
        <f>SUM(G382:H385)</f>
        <v>1494349</v>
      </c>
      <c r="H386" s="381">
        <v>677531</v>
      </c>
      <c r="I386" s="326">
        <f t="shared" si="29"/>
        <v>-0.50100813129998412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2" t="s">
        <v>208</v>
      </c>
      <c r="B388" s="332"/>
      <c r="C388" s="332"/>
      <c r="D388" s="332"/>
      <c r="E388" s="332"/>
      <c r="F388" s="340"/>
      <c r="G388" s="332"/>
      <c r="H388" s="332"/>
      <c r="I388" s="340"/>
    </row>
    <row r="389" spans="1:9" ht="14.25" x14ac:dyDescent="0.2">
      <c r="A389" s="339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249"/>
      <c r="C390" s="249">
        <f>SUMIFS(Data!$T$2:$T$15,Data!$S$2:$S$15,MarketProfile!A390,Data!$X$2:$X$15,"1")/1000</f>
        <v>318771588.5569424</v>
      </c>
      <c r="D390" s="380">
        <f>SUMIFS(Data!$T$30:$T$42,Data!$S$30:$S$42,MarketProfile!A390,Data!$X$30:$X$42,"1")/1000</f>
        <v>0</v>
      </c>
      <c r="E390" s="380"/>
      <c r="F390" s="286">
        <f t="shared" ref="F390:F397" si="30">IFERROR(IF(OR(AND(D390="",C390=""),AND(D390=0,C390=0)),"",
IF(OR(D390="",D390=0),1,
IF(OR(D390&lt;&gt;"",D390&lt;&gt;0),(C390-D390)/ABS(D390)))),-1)</f>
        <v>1</v>
      </c>
      <c r="G390" s="380">
        <f>SUMIFS(Data!$T$63:$T$78,Data!$S$63:$S$78,MarketProfile!A390,Data!$X$63:$X$78,"1")</f>
        <v>330629494777.86688</v>
      </c>
      <c r="H390" s="380"/>
      <c r="I390" s="286">
        <f t="shared" ref="I390:I397" si="31">IFERROR(IF(OR(AND(G390="",C390=""),AND(G390=0,C390=0)),"",
IF(OR(G390="",G390=0),1,
IF(OR(G390&lt;&gt;"",G390&lt;&gt;0),(C390-G390)/ABS(G390)))),-1)</f>
        <v>-0.99903586463521321</v>
      </c>
    </row>
    <row r="391" spans="1:9" ht="14.25" x14ac:dyDescent="0.2">
      <c r="A391" s="248" t="s">
        <v>447</v>
      </c>
      <c r="B391" s="249"/>
      <c r="C391" s="249">
        <f>SUMIFS(Data!$T$2:$T$15,Data!$S$2:$S$15,MarketProfile!A391,Data!$X$2:$X$15,"1")/1000</f>
        <v>5553214.6448999997</v>
      </c>
      <c r="D391" s="380">
        <f>SUMIFS(Data!$T$30:$T$42,Data!$S$30:$S$42,MarketProfile!A391,Data!$X$30:$X$42,"1")/1000</f>
        <v>170493.9062</v>
      </c>
      <c r="E391" s="380"/>
      <c r="F391" s="286">
        <f t="shared" si="30"/>
        <v>31.571337994835616</v>
      </c>
      <c r="G391" s="380">
        <f>SUMIFS(Data!$T$63:$T$78,Data!$S$63:$S$78,MarketProfile!A391,Data!$X$63:$X$78,"1")</f>
        <v>19069909496.112</v>
      </c>
      <c r="H391" s="380"/>
      <c r="I391" s="286">
        <f t="shared" si="31"/>
        <v>-0.99970879701101711</v>
      </c>
    </row>
    <row r="392" spans="1:9" ht="14.25" x14ac:dyDescent="0.2">
      <c r="A392" s="248" t="s">
        <v>448</v>
      </c>
      <c r="B392" s="249"/>
      <c r="C392" s="249">
        <f>SUMIFS(Data!$T$2:$T$15,Data!$S$2:$S$15,MarketProfile!A392,Data!$X$2:$X$15,"1")/1000</f>
        <v>532.01400000000001</v>
      </c>
      <c r="D392" s="380">
        <f>SUMIFS(Data!$T$30:$T$42,Data!$S$30:$S$42,MarketProfile!A392,Data!$X$30:$X$42,"1")/1000</f>
        <v>17.510999999999999</v>
      </c>
      <c r="E392" s="380"/>
      <c r="F392" s="286">
        <f t="shared" si="30"/>
        <v>29.381702929587121</v>
      </c>
      <c r="G392" s="380">
        <f>SUMIFS(Data!$T$63:$T$78,Data!$S$63:$S$78,MarketProfile!A392,Data!$X$63:$X$78,"1")</f>
        <v>390</v>
      </c>
      <c r="H392" s="380"/>
      <c r="I392" s="286">
        <f t="shared" si="31"/>
        <v>0.36413846153846158</v>
      </c>
    </row>
    <row r="393" spans="1:9" ht="14.25" x14ac:dyDescent="0.2">
      <c r="A393" s="248" t="s">
        <v>182</v>
      </c>
      <c r="B393" s="249"/>
      <c r="C393" s="249">
        <f>SUMIFS(Data!$T$2:$T$15,Data!$S$2:$S$15,MarketProfile!A393,Data!$X$2:$X$15,"1")/1000</f>
        <v>51400.978174999997</v>
      </c>
      <c r="D393" s="380">
        <f>SUMIFS(Data!$T$30:$T$42,Data!$S$30:$S$42,MarketProfile!A393,Data!$X$30:$X$42,"1")/1000</f>
        <v>48999.400665000001</v>
      </c>
      <c r="E393" s="380"/>
      <c r="F393" s="286">
        <f t="shared" si="30"/>
        <v>4.9012385404857188E-2</v>
      </c>
      <c r="G393" s="380">
        <f>SUMIFS(Data!$T$63:$T$78,Data!$S$63:$S$78,MarketProfile!A393,Data!$X$63:$X$78,"1")</f>
        <v>98604662.569000006</v>
      </c>
      <c r="H393" s="380"/>
      <c r="I393" s="286">
        <f t="shared" si="31"/>
        <v>-0.99947871655522347</v>
      </c>
    </row>
    <row r="394" spans="1:9" ht="14.25" x14ac:dyDescent="0.2">
      <c r="A394" s="248" t="s">
        <v>449</v>
      </c>
      <c r="B394" s="249"/>
      <c r="C394" s="249">
        <f>SUMIFS(Data!$T$2:$T$15,Data!$S$2:$S$15,MarketProfile!A394,Data!$X$2:$X$15,"1")/1000</f>
        <v>124644.393536</v>
      </c>
      <c r="D394" s="380">
        <f>SUMIFS(Data!$T$30:$T$42,Data!$S$30:$S$42,MarketProfile!A394,Data!$X$30:$X$42,"1")/1000</f>
        <v>0</v>
      </c>
      <c r="E394" s="380"/>
      <c r="F394" s="286">
        <f t="shared" si="30"/>
        <v>1</v>
      </c>
      <c r="G394" s="380">
        <f>SUMIFS(Data!$T$63:$T$78,Data!$S$63:$S$78,MarketProfile!A394,Data!$X$63:$X$78,"1")</f>
        <v>1328911540.6788001</v>
      </c>
      <c r="H394" s="380"/>
      <c r="I394" s="286">
        <f t="shared" si="31"/>
        <v>-0.99990620565047361</v>
      </c>
    </row>
    <row r="395" spans="1:9" ht="14.25" x14ac:dyDescent="0.2">
      <c r="A395" s="248" t="s">
        <v>450</v>
      </c>
      <c r="B395" s="249"/>
      <c r="C395" s="249">
        <f>SUMIFS(Data!$T$2:$T$15,Data!$S$2:$S$15,MarketProfile!A395,Data!$X$2:$X$15,"1")/1000</f>
        <v>0</v>
      </c>
      <c r="D395" s="380">
        <f>SUMIFS(Data!$T$30:$T$42,Data!$S$30:$S$42,MarketProfile!A395,Data!$X$30:$X$42,"1")/1000</f>
        <v>0</v>
      </c>
      <c r="E395" s="380"/>
      <c r="F395" s="286" t="str">
        <f t="shared" si="30"/>
        <v/>
      </c>
      <c r="G395" s="380">
        <f>SUMIFS(Data!$T$63:$T$78,Data!$S$63:$S$78,MarketProfile!A395,Data!$X$63:$X$78,"1")</f>
        <v>8359.6</v>
      </c>
      <c r="H395" s="380"/>
      <c r="I395" s="286">
        <f t="shared" si="31"/>
        <v>-1</v>
      </c>
    </row>
    <row r="396" spans="1:9" ht="14.25" x14ac:dyDescent="0.2">
      <c r="A396" s="248" t="s">
        <v>451</v>
      </c>
      <c r="B396" s="249"/>
      <c r="C396" s="249">
        <f>SUMIFS(Data!$T$2:$T$15,Data!$S$2:$S$15,MarketProfile!A396,Data!$X$2:$X$15,"1")/1000</f>
        <v>1508099.3452300001</v>
      </c>
      <c r="D396" s="380">
        <f>SUMIFS(Data!$T$30:$T$42,Data!$S$30:$S$42,MarketProfile!A396,Data!$X$30:$X$42,"1")/1000</f>
        <v>5293694.3841019999</v>
      </c>
      <c r="E396" s="380"/>
      <c r="F396" s="286">
        <f t="shared" si="30"/>
        <v>-0.71511401380496808</v>
      </c>
      <c r="G396" s="380">
        <f>SUMIFS(Data!$T$63:$T$78,Data!$S$63:$S$78,MarketProfile!A396,Data!$X$63:$X$78,"1")</f>
        <v>2836770877.842</v>
      </c>
      <c r="H396" s="380"/>
      <c r="I396" s="286">
        <f t="shared" si="31"/>
        <v>-0.99946837463786387</v>
      </c>
    </row>
    <row r="397" spans="1:9" ht="15" x14ac:dyDescent="0.25">
      <c r="A397" s="288" t="s">
        <v>133</v>
      </c>
      <c r="B397" s="250"/>
      <c r="C397" s="250">
        <f>SUM(C390:C396)</f>
        <v>326009479.93278337</v>
      </c>
      <c r="D397" s="381">
        <f>SUM(D390:E396)</f>
        <v>5513205.201967</v>
      </c>
      <c r="E397" s="381">
        <f>SUM(E390:E396)</f>
        <v>0</v>
      </c>
      <c r="F397" s="326">
        <f t="shared" si="30"/>
        <v>58.132477023795481</v>
      </c>
      <c r="G397" s="381">
        <f>SUM(G390:H396)</f>
        <v>353963700104.66858</v>
      </c>
      <c r="H397" s="381">
        <v>320543973</v>
      </c>
      <c r="I397" s="326">
        <f t="shared" si="31"/>
        <v>-0.99907897482189167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9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</f>
        <v>2175315.82644</v>
      </c>
      <c r="D400" s="380">
        <f>SUMIFS(Data!$T$30:$T$42,Data!$S$30:$S$42,MarketProfile!A400,Data!$X$30:$X$42,"0")/1000</f>
        <v>4022520.5511699999</v>
      </c>
      <c r="E400" s="380"/>
      <c r="F400" s="286">
        <f t="shared" ref="F400:F404" si="32">IFERROR(IF(OR(AND(D400="",C400=""),AND(D400=0,C400=0)),"",
IF(OR(D400="",D400=0),1,
IF(OR(D400&lt;&gt;"",D400&lt;&gt;0),(C400-D400)/ABS(D400)))),-1)</f>
        <v>-0.45921573332738291</v>
      </c>
      <c r="G400" s="380">
        <f>SUMIFS(Data!$T$63:$T$78,Data!$S$63:$S$78,MarketProfile!A400,Data!$X$63:$X$78,"0")/1000</f>
        <v>2173846.5624899999</v>
      </c>
      <c r="H400" s="380"/>
      <c r="I400" s="286">
        <f t="shared" ref="I400:I404" si="33">IFERROR(IF(OR(AND(G400="",C400=""),AND(G400=0,C400=0)),"",
IF(OR(G400="",G400=0),1,
IF(OR(G400&lt;&gt;"",G400&lt;&gt;0),(C400-G400)/ABS(G400)))),-1)</f>
        <v>6.7588208632218512E-4</v>
      </c>
    </row>
    <row r="401" spans="1:9" ht="14.25" x14ac:dyDescent="0.2">
      <c r="A401" s="248" t="s">
        <v>447</v>
      </c>
      <c r="B401" s="249"/>
      <c r="C401" s="249">
        <f>SUMIFS(Data!$T$2:$T$15,Data!$S$2:$S$15,MarketProfile!A401,Data!$X$2:$X$15,"0")/1000</f>
        <v>1185363.1499100002</v>
      </c>
      <c r="D401" s="380">
        <f>SUMIFS(Data!$T$30:$T$42,Data!$S$30:$S$42,MarketProfile!A401,Data!$X$30:$X$42,"0")/1000</f>
        <v>612870.19678999996</v>
      </c>
      <c r="E401" s="380"/>
      <c r="F401" s="286">
        <f t="shared" si="32"/>
        <v>0.93411778891928232</v>
      </c>
      <c r="G401" s="380">
        <f>SUMIFS(Data!$T$63:$T$78,Data!$S$63:$S$78,MarketProfile!A401,Data!$X$63:$X$78,"0")/1000</f>
        <v>928398.21383000002</v>
      </c>
      <c r="H401" s="380"/>
      <c r="I401" s="286">
        <f t="shared" si="33"/>
        <v>0.27678310045419074</v>
      </c>
    </row>
    <row r="402" spans="1:9" ht="14.25" x14ac:dyDescent="0.2">
      <c r="A402" s="248" t="s">
        <v>451</v>
      </c>
      <c r="B402" s="249"/>
      <c r="C402" s="249">
        <f>SUMIFS(Data!$T$2:$T$15,Data!$S$2:$S$15,MarketProfile!A402,Data!$X$2:$X$15,"0")/1000</f>
        <v>85667.0913</v>
      </c>
      <c r="D402" s="380">
        <f>SUMIFS(Data!$T$30:$T$42,Data!$S$30:$S$42,MarketProfile!A402,Data!$X$30:$X$42,"0")/1000</f>
        <v>151927.3602</v>
      </c>
      <c r="E402" s="380"/>
      <c r="F402" s="286">
        <f t="shared" si="32"/>
        <v>-0.43613124596368785</v>
      </c>
      <c r="G402" s="380">
        <f>SUMIFS(Data!$T$63:$T$78,Data!$S$63:$S$78,MarketProfile!A402,Data!$X$63:$X$78,"0")/1000</f>
        <v>333011.51149</v>
      </c>
      <c r="H402" s="380"/>
      <c r="I402" s="286">
        <f t="shared" si="33"/>
        <v>-0.74275036044040033</v>
      </c>
    </row>
    <row r="403" spans="1:9" ht="14.25" x14ac:dyDescent="0.2">
      <c r="A403" s="248" t="s">
        <v>448</v>
      </c>
      <c r="B403" s="249"/>
      <c r="C403" s="249">
        <f>SUMIFS(Data!$T$2:$T$15,Data!$S$2:$S$15,MarketProfile!A403,Data!$X$2:$X$15,"0")/1000</f>
        <v>0</v>
      </c>
      <c r="D403" s="380">
        <f>SUMIFS(Data!$T$30:$T$42,Data!$S$30:$S$42,MarketProfile!A403,Data!$X$30:$X$42,"0")/1000</f>
        <v>0</v>
      </c>
      <c r="E403" s="380"/>
      <c r="F403" s="286" t="str">
        <f t="shared" si="32"/>
        <v/>
      </c>
      <c r="G403" s="380">
        <f>SUMIFS(Data!$T$63:$T$78,Data!$S$63:$S$78,MarketProfile!A403,Data!$X$63:$X$78,"0")/1000</f>
        <v>0</v>
      </c>
      <c r="H403" s="380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3446346.0676500001</v>
      </c>
      <c r="D404" s="381">
        <f>SUM(D400:E403)</f>
        <v>4787318.1081599994</v>
      </c>
      <c r="E404" s="381">
        <f>SUM(E400:E403)</f>
        <v>0</v>
      </c>
      <c r="F404" s="326">
        <f t="shared" si="32"/>
        <v>-0.28010924075095572</v>
      </c>
      <c r="G404" s="381">
        <f>SUM(G400:H403)</f>
        <v>3435256.2878100001</v>
      </c>
      <c r="H404" s="381">
        <v>1436842</v>
      </c>
      <c r="I404" s="326">
        <f t="shared" si="33"/>
        <v>3.2282248865541808E-3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2" t="s">
        <v>144</v>
      </c>
      <c r="B406" s="332"/>
      <c r="C406" s="332"/>
      <c r="D406" s="332"/>
      <c r="E406" s="332"/>
      <c r="F406" s="340"/>
      <c r="G406" s="332"/>
      <c r="H406" s="332"/>
      <c r="I406" s="340"/>
    </row>
    <row r="407" spans="1:9" ht="14.25" x14ac:dyDescent="0.2">
      <c r="A407" s="339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SUMIFS(Data!$W$18:$W$31,Data!$S$18:$S$31,MarketProfile!A408,Data!$X$18:$X$31,"1")</f>
        <v>607786</v>
      </c>
      <c r="D408" s="380">
        <f>SUMIFS(Data!$W$34:$W$47,Data!$S$34:$S$47,MarketProfile!A408,Data!$X$34:$X$47,"1")</f>
        <v>671733</v>
      </c>
      <c r="E408" s="380"/>
      <c r="F408" s="286">
        <f t="shared" ref="F408:F414" si="34">IFERROR(IF(OR(AND(D408="",C408=""),AND(D408=0,C408=0)),"",
IF(OR(D408="",D408=0),1,
IF(OR(D408&lt;&gt;"",D408&lt;&gt;0),(C408-D408)/ABS(D408)))),-1)</f>
        <v>-9.5197050018385285E-2</v>
      </c>
      <c r="G408" s="380">
        <f>SUMIFS(Data!$W$81:$W$93,Data!$S$81:$S$93,MarketProfile!A408,Data!$X$81:$X$93,"1")</f>
        <v>696149</v>
      </c>
      <c r="H408" s="380"/>
      <c r="I408" s="286">
        <f t="shared" ref="I408:I414" si="35">IFERROR(IF(OR(AND(G408="",C408=""),AND(G408=0,C408=0)),"",
IF(OR(G408="",G408=0),1,
IF(OR(G408&lt;&gt;"",G408&lt;&gt;0),(C408-G408)/ABS(G408)))),-1)</f>
        <v>-0.12693115985227302</v>
      </c>
    </row>
    <row r="409" spans="1:9" ht="14.25" x14ac:dyDescent="0.2">
      <c r="A409" s="248" t="s">
        <v>447</v>
      </c>
      <c r="B409" s="127"/>
      <c r="C409" s="127">
        <f>SUMIFS(Data!$W$18:$W$31,Data!$S$18:$S$31,MarketProfile!A409,Data!$X$18:$X$31,"1")</f>
        <v>1009986</v>
      </c>
      <c r="D409" s="380">
        <f>SUMIFS(Data!$W$34:$W$47,Data!$S$34:$S$47,MarketProfile!A409,Data!$X$34:$X$47,"1")</f>
        <v>1211214</v>
      </c>
      <c r="E409" s="380"/>
      <c r="F409" s="286">
        <f t="shared" si="34"/>
        <v>-0.16613744557113772</v>
      </c>
      <c r="G409" s="380">
        <f>SUMIFS(Data!$W$81:$W$93,Data!$S$81:$S$93,MarketProfile!A409,Data!$X$81:$X$93,"1")</f>
        <v>1391105</v>
      </c>
      <c r="H409" s="380"/>
      <c r="I409" s="286">
        <f t="shared" si="35"/>
        <v>-0.27396853580427072</v>
      </c>
    </row>
    <row r="410" spans="1:9" ht="14.25" x14ac:dyDescent="0.2">
      <c r="A410" s="248" t="s">
        <v>448</v>
      </c>
      <c r="B410" s="127"/>
      <c r="C410" s="127">
        <f>SUMIFS(Data!$W$18:$W$31,Data!$S$18:$S$31,MarketProfile!A410,Data!$X$18:$X$31,"1")</f>
        <v>692684</v>
      </c>
      <c r="D410" s="380">
        <f>SUMIFS(Data!$W$34:$W$47,Data!$S$34:$S$47,MarketProfile!A410,Data!$X$34:$X$47,"1")</f>
        <v>830042</v>
      </c>
      <c r="E410" s="380"/>
      <c r="F410" s="286">
        <f t="shared" si="34"/>
        <v>-0.16548319241676926</v>
      </c>
      <c r="G410" s="380">
        <f>SUMIFS(Data!$W$81:$W$93,Data!$S$81:$S$93,MarketProfile!A410,Data!$X$81:$X$93,"1")</f>
        <v>971285</v>
      </c>
      <c r="H410" s="380"/>
      <c r="I410" s="286">
        <f t="shared" si="35"/>
        <v>-0.28683753995994998</v>
      </c>
    </row>
    <row r="411" spans="1:9" ht="14.25" x14ac:dyDescent="0.2">
      <c r="A411" s="248" t="s">
        <v>182</v>
      </c>
      <c r="B411" s="127"/>
      <c r="C411" s="127">
        <f>SUMIFS(Data!$W$18:$W$31,Data!$S$18:$S$31,MarketProfile!A411,Data!$X$18:$X$31,"1")</f>
        <v>2740699</v>
      </c>
      <c r="D411" s="380">
        <f>SUMIFS(Data!$W$34:$W$47,Data!$S$34:$S$47,MarketProfile!A411,Data!$X$34:$X$47,"1")</f>
        <v>1536119</v>
      </c>
      <c r="E411" s="380"/>
      <c r="F411" s="286">
        <f t="shared" si="34"/>
        <v>0.78417101800055855</v>
      </c>
      <c r="G411" s="380">
        <f>SUMIFS(Data!$W$81:$W$93,Data!$S$81:$S$93,MarketProfile!A411,Data!$X$81:$X$93,"1")</f>
        <v>1020901</v>
      </c>
      <c r="H411" s="380"/>
      <c r="I411" s="286">
        <f t="shared" si="35"/>
        <v>1.6845884174861225</v>
      </c>
    </row>
    <row r="412" spans="1:9" ht="14.25" x14ac:dyDescent="0.2">
      <c r="A412" s="248" t="s">
        <v>449</v>
      </c>
      <c r="B412" s="127"/>
      <c r="C412" s="127">
        <f>SUMIFS(Data!$W$18:$W$31,Data!$S$18:$S$31,MarketProfile!A412,Data!$X$18:$X$31,"1")</f>
        <v>1546008</v>
      </c>
      <c r="D412" s="380">
        <f>SUMIFS(Data!$W$34:$W$47,Data!$S$34:$S$47,MarketProfile!A412,Data!$X$34:$X$47,"1")</f>
        <v>12027706</v>
      </c>
      <c r="E412" s="380"/>
      <c r="F412" s="286">
        <f t="shared" si="34"/>
        <v>-0.87146277103879988</v>
      </c>
      <c r="G412" s="380">
        <f>SUMIFS(Data!$W$81:$W$93,Data!$S$81:$S$93,MarketProfile!A412,Data!$X$81:$X$93,"1")</f>
        <v>10661603</v>
      </c>
      <c r="H412" s="380"/>
      <c r="I412" s="286">
        <f t="shared" si="35"/>
        <v>-0.85499291241664133</v>
      </c>
    </row>
    <row r="413" spans="1:9" ht="14.25" x14ac:dyDescent="0.2">
      <c r="A413" s="248" t="s">
        <v>450</v>
      </c>
      <c r="B413" s="127"/>
      <c r="C413" s="127">
        <f>SUMIFS(Data!$W$18:$W$31,Data!$S$18:$S$31,MarketProfile!A413,Data!$X$18:$X$31,"1")</f>
        <v>1460725</v>
      </c>
      <c r="D413" s="380">
        <f>SUMIFS(Data!$W$34:$W$47,Data!$S$34:$S$47,MarketProfile!A413,Data!$X$34:$X$47,"1")</f>
        <v>11531907</v>
      </c>
      <c r="E413" s="380"/>
      <c r="F413" s="286">
        <f t="shared" si="34"/>
        <v>-0.8733318782400864</v>
      </c>
      <c r="G413" s="380">
        <f>SUMIFS(Data!$W$81:$W$93,Data!$S$81:$S$93,MarketProfile!A413,Data!$X$81:$X$93,"1")</f>
        <v>10185479</v>
      </c>
      <c r="H413" s="380"/>
      <c r="I413" s="286">
        <f t="shared" si="35"/>
        <v>-0.85658750069584355</v>
      </c>
    </row>
    <row r="414" spans="1:9" ht="14.25" x14ac:dyDescent="0.2">
      <c r="A414" s="248" t="s">
        <v>451</v>
      </c>
      <c r="B414" s="127"/>
      <c r="C414" s="127">
        <f>SUMIFS(Data!$W$18:$W$31,Data!$S$18:$S$31,MarketProfile!A414,Data!$X$18:$X$31,"1")</f>
        <v>150745</v>
      </c>
      <c r="D414" s="380">
        <f>SUMIFS(Data!$W$34:$W$47,Data!$S$34:$S$47,MarketProfile!A414,Data!$X$34:$X$47,"1")</f>
        <v>472686</v>
      </c>
      <c r="E414" s="380"/>
      <c r="F414" s="286">
        <f t="shared" si="34"/>
        <v>-0.68108850272696886</v>
      </c>
      <c r="G414" s="380">
        <f>SUMIFS(Data!$W$81:$W$93,Data!$S$81:$S$93,MarketProfile!A414,Data!$X$81:$X$93,"1")</f>
        <v>470128</v>
      </c>
      <c r="H414" s="380"/>
      <c r="I414" s="286">
        <f t="shared" si="35"/>
        <v>-0.67935328251029503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9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SUMIFS(Data!$W$18:$W$31,Data!$S$18:$S$31,MarketProfile!A417,Data!$X$18:$X$31,"0")</f>
        <v>998106</v>
      </c>
      <c r="D417" s="380">
        <f>SUMIFS(Data!$W$34:$W$47,Data!$S$34:$S$47,MarketProfile!A417,Data!$X$34:$X$47,"0")</f>
        <v>1076998</v>
      </c>
      <c r="E417" s="380"/>
      <c r="F417" s="286">
        <f t="shared" ref="F417:F419" si="36">IFERROR(IF(OR(AND(D417="",C417=""),AND(D417=0,C417=0)),"",
IF(OR(D417="",D417=0),1,
IF(OR(D417&lt;&gt;"",D417&lt;&gt;0),(C417-D417)/ABS(D417)))),-1)</f>
        <v>-7.3251760913205038E-2</v>
      </c>
      <c r="G417" s="380">
        <f>SUMIFS(Data!$W$81:$W$93,Data!$S$81:$S$93,MarketProfile!A417,Data!$X$81:$X$93,"0")</f>
        <v>1207622</v>
      </c>
      <c r="H417" s="380"/>
      <c r="I417" s="286">
        <f t="shared" ref="I417:I419" si="37">IFERROR(IF(OR(AND(G417="",C417=""),AND(G417=0,C417=0)),"",
IF(OR(G417="",G417=0),1,
IF(OR(G417&lt;&gt;"",G417&lt;&gt;0),(C417-G417)/ABS(G417)))),-1)</f>
        <v>-0.17349468625116138</v>
      </c>
    </row>
    <row r="418" spans="1:12" ht="14.25" x14ac:dyDescent="0.2">
      <c r="A418" s="248" t="s">
        <v>447</v>
      </c>
      <c r="B418" s="127"/>
      <c r="C418" s="127">
        <f>SUMIFS(Data!$W$18:$W$31,Data!$S$18:$S$31,MarketProfile!A418,Data!$X$18:$X$31,"0")</f>
        <v>1889143</v>
      </c>
      <c r="D418" s="380">
        <f>SUMIFS(Data!$W$34:$W$47,Data!$S$34:$S$47,MarketProfile!A418,Data!$X$34:$X$47,"0")</f>
        <v>2073130</v>
      </c>
      <c r="E418" s="380"/>
      <c r="F418" s="286">
        <f t="shared" si="36"/>
        <v>-8.8748414233550232E-2</v>
      </c>
      <c r="G418" s="380">
        <f>SUMIFS(Data!$W$75:$W$87,Data!$S$75:$S$87,MarketProfile!A418,Data!$X$75:$X$87,"0")</f>
        <v>2539610</v>
      </c>
      <c r="H418" s="380"/>
      <c r="I418" s="286">
        <f t="shared" si="37"/>
        <v>-0.25612869692590595</v>
      </c>
    </row>
    <row r="419" spans="1:12" ht="14.25" x14ac:dyDescent="0.2">
      <c r="A419" s="248" t="s">
        <v>451</v>
      </c>
      <c r="B419" s="127"/>
      <c r="C419" s="127">
        <f>SUMIFS(Data!$W$18:$W$31,Data!$S$18:$S$31,MarketProfile!A419,Data!$X$18:$X$31,"0")</f>
        <v>258841</v>
      </c>
      <c r="D419" s="380">
        <f>SUMIFS(Data!$W$34:$W$47,Data!$S$34:$S$47,MarketProfile!A419,Data!$X$34:$X$47,"0")</f>
        <v>318663</v>
      </c>
      <c r="E419" s="380"/>
      <c r="F419" s="286">
        <f t="shared" si="36"/>
        <v>-0.18772810147397093</v>
      </c>
      <c r="G419" s="380">
        <f>SUMIFS(Data!$W$75:$W$87,Data!$S$75:$S$87,MarketProfile!A419,Data!$X$75:$X$87,"0")</f>
        <v>312130</v>
      </c>
      <c r="H419" s="380"/>
      <c r="I419" s="286">
        <f t="shared" si="37"/>
        <v>-0.17072694069778618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391" t="str">
        <f>"Market Profile - "&amp; TEXT($H$3,"MMM")&amp;" "&amp;TEXT($H$3,"YYYY")</f>
        <v>Market Profile - Nov 2018</v>
      </c>
      <c r="B429" s="248"/>
      <c r="C429" s="248"/>
      <c r="D429" s="248"/>
      <c r="E429" s="395" t="s">
        <v>205</v>
      </c>
      <c r="F429" s="395"/>
      <c r="G429" s="395"/>
      <c r="H429" s="395"/>
      <c r="I429" s="395"/>
    </row>
    <row r="430" spans="1:12" ht="10.5" customHeight="1" thickBot="1" x14ac:dyDescent="0.25">
      <c r="A430" s="392"/>
      <c r="B430" s="278"/>
      <c r="C430" s="278"/>
      <c r="D430" s="278"/>
      <c r="E430" s="396"/>
      <c r="F430" s="396"/>
      <c r="G430" s="396"/>
      <c r="H430" s="396"/>
      <c r="I430" s="396"/>
    </row>
    <row r="431" spans="1:12" ht="38.25" customHeight="1" thickBot="1" x14ac:dyDescent="0.3">
      <c r="A431" s="330"/>
      <c r="B431" s="330"/>
      <c r="C431" s="341" t="str">
        <f>TEXT($H$3,"MMM")&amp;" "&amp;TEXT($H$3,"YYYY")</f>
        <v>Nov 2018</v>
      </c>
      <c r="D431" s="330"/>
      <c r="E431" s="341" t="str">
        <f>TEXT(DATE(2000,TEXT(H3,"M")-1,1),"mmm")&amp; " "&amp; TEXT(H3,"YYYY")</f>
        <v>Oct 2018</v>
      </c>
      <c r="F431" s="180" t="s">
        <v>193</v>
      </c>
      <c r="G431" s="330"/>
      <c r="H431" s="342" t="str">
        <f>TEXT($H$3,"MMM")&amp;" "&amp;TEXT($H$3,"YYYY")-1</f>
        <v>Nov 2017</v>
      </c>
      <c r="I431" s="342" t="s">
        <v>194</v>
      </c>
    </row>
    <row r="432" spans="1:12" ht="15" x14ac:dyDescent="0.25">
      <c r="A432" s="332" t="s">
        <v>117</v>
      </c>
      <c r="B432" s="332"/>
      <c r="C432" s="332"/>
      <c r="D432" s="332"/>
      <c r="E432" s="332"/>
      <c r="F432" s="332"/>
      <c r="G432" s="332"/>
      <c r="H432" s="332"/>
      <c r="I432" s="343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1345</v>
      </c>
      <c r="D434" s="378">
        <f>SUMIFS(Data!$AQ:$AQ,Data!$AN:$AN,MarketProfile!A434,Data!$AS:$AS,"1")</f>
        <v>748</v>
      </c>
      <c r="E434" s="378"/>
      <c r="F434" s="179">
        <f>IFERROR(IF(OR(AND(D434="",C434=""),AND(D434=0,C434=0)),"",
IF(OR(D434="",D434=0),1,
IF(OR(D434&lt;&gt;"",D434&lt;&gt;0),(C434-D434)/ABS(D434)))),-1)</f>
        <v>0.79812834224598928</v>
      </c>
      <c r="G434" s="378">
        <f>SUMIFS(Data!$BE:$BE,Data!$BB:$BB,MarketProfile!A434,Data!BG:BG,"1")</f>
        <v>1169</v>
      </c>
      <c r="H434" s="378"/>
      <c r="I434" s="179">
        <f t="shared" ref="I434:I441" si="38">IFERROR(IF(OR(AND(G434="",C434=""),AND(G434=0,C434=0)),"",
IF(OR(G434="",G434=0),1,
IF(OR(G434&lt;&gt;"",G434&lt;&gt;0),(C434-G434)/ABS(G434)))),-1)</f>
        <v>0.15055603079555174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3244</v>
      </c>
      <c r="D435" s="378">
        <f>SUMIFS(Data!$AQ:$AQ,Data!$AN:$AN,MarketProfile!A435,Data!$AS:$AS,"1")</f>
        <v>2943</v>
      </c>
      <c r="E435" s="378"/>
      <c r="F435" s="179">
        <f t="shared" ref="F435:F442" si="39">IFERROR(IF(OR(AND(D435="",C435=""),AND(D435=0,C435=0)),"",
IF(OR(D435="",D435=0),1,
IF(OR(D435&lt;&gt;"",D435&lt;&gt;0),(C435-D435)/ABS(D435)))),-1)</f>
        <v>0.10227658851512063</v>
      </c>
      <c r="G435" s="378">
        <f>SUMIFS(Data!$BE:$BE,Data!$BB:$BB,MarketProfile!A435,Data!BG:BG,"1")</f>
        <v>4325</v>
      </c>
      <c r="H435" s="378"/>
      <c r="I435" s="179">
        <f t="shared" si="38"/>
        <v>-0.24994219653179189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9619</v>
      </c>
      <c r="D436" s="378">
        <f>SUMIFS(Data!$AQ:$AQ,Data!$AN:$AN,MarketProfile!A436,Data!$AS:$AS,"1")</f>
        <v>6166</v>
      </c>
      <c r="E436" s="378"/>
      <c r="F436" s="179">
        <f t="shared" si="39"/>
        <v>0.5600064871878041</v>
      </c>
      <c r="G436" s="378">
        <f>SUMIFS(Data!$BE:$BE,Data!$BB:$BB,MarketProfile!A436,Data!BG:BG,"1")</f>
        <v>7835</v>
      </c>
      <c r="H436" s="378"/>
      <c r="I436" s="179">
        <f t="shared" si="38"/>
        <v>0.22769623484365029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35</v>
      </c>
      <c r="D437" s="378">
        <f>SUMIFS(Data!$AQ:$AQ,Data!$AN:$AN,MarketProfile!A437,Data!$AS:$AS,"1")</f>
        <v>14</v>
      </c>
      <c r="E437" s="378"/>
      <c r="F437" s="179">
        <f t="shared" si="39"/>
        <v>1.5</v>
      </c>
      <c r="G437" s="378">
        <f>SUMIFS(Data!$BE:$BE,Data!$BB:$BB,MarketProfile!A437,Data!BG:BG,"1")</f>
        <v>14</v>
      </c>
      <c r="H437" s="378"/>
      <c r="I437" s="179">
        <f t="shared" si="38"/>
        <v>1.5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3235</v>
      </c>
      <c r="D438" s="378">
        <f>SUMIFS(Data!$AQ:$AQ,Data!$AN:$AN,MarketProfile!A438,Data!$AS:$AS,"1")</f>
        <v>2798</v>
      </c>
      <c r="E438" s="378"/>
      <c r="F438" s="179">
        <f t="shared" si="39"/>
        <v>0.15618298784846318</v>
      </c>
      <c r="G438" s="378">
        <f>SUMIFS(Data!$BE:$BE,Data!$BB:$BB,MarketProfile!A438,Data!BG:BG,"1")</f>
        <v>4715</v>
      </c>
      <c r="H438" s="378"/>
      <c r="I438" s="179">
        <f t="shared" si="38"/>
        <v>-0.31389183457051961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21935</v>
      </c>
      <c r="D439" s="378">
        <f>SUMIFS(Data!$AQ:$AQ,Data!$AN:$AN,MarketProfile!A439,Data!$AS:$AS,"1")</f>
        <v>12590</v>
      </c>
      <c r="E439" s="378"/>
      <c r="F439" s="179">
        <f t="shared" si="39"/>
        <v>0.74225575853852266</v>
      </c>
      <c r="G439" s="378">
        <f>SUMIFS(Data!$BE:$BE,Data!$BB:$BB,MarketProfile!A439,Data!BG:BG,"1")</f>
        <v>15416</v>
      </c>
      <c r="H439" s="378"/>
      <c r="I439" s="179">
        <f t="shared" si="38"/>
        <v>0.4228723404255319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38</v>
      </c>
      <c r="D440" s="378">
        <f>SUMIFS(Data!$AQ:$AQ,Data!$AN:$AN,MarketProfile!A440,Data!$AS:$AS,"1")</f>
        <v>11</v>
      </c>
      <c r="E440" s="378"/>
      <c r="F440" s="179">
        <f t="shared" si="39"/>
        <v>2.4545454545454546</v>
      </c>
      <c r="G440" s="378">
        <f>SUMIFS(Data!$BE:$BE,Data!$BB:$BB,MarketProfile!A440,Data!BG:BG,"1")</f>
        <v>15</v>
      </c>
      <c r="H440" s="378"/>
      <c r="I440" s="179">
        <f t="shared" si="38"/>
        <v>1.5333333333333334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15</v>
      </c>
      <c r="D441" s="378">
        <f>SUMIFS(Data!$AQ:$AQ,Data!$AN:$AN,MarketProfile!A441,Data!$AS:$AS,"1")</f>
        <v>3</v>
      </c>
      <c r="E441" s="378"/>
      <c r="F441" s="179">
        <f t="shared" si="39"/>
        <v>4</v>
      </c>
      <c r="G441" s="378">
        <f>SUMIFS(Data!$BE:$BE,Data!$BB:$BB,MarketProfile!A441,Data!BG:BG,"1")</f>
        <v>3</v>
      </c>
      <c r="H441" s="378"/>
      <c r="I441" s="179">
        <f t="shared" si="38"/>
        <v>4</v>
      </c>
      <c r="J441" s="158"/>
    </row>
    <row r="442" spans="1:10" x14ac:dyDescent="0.2">
      <c r="A442" s="246" t="s">
        <v>187</v>
      </c>
      <c r="B442" s="247"/>
      <c r="C442" s="4">
        <f>SUM(C434:C441)</f>
        <v>39466</v>
      </c>
      <c r="D442" s="379">
        <f>SUM(D434:E441)</f>
        <v>25273</v>
      </c>
      <c r="E442" s="379">
        <f>SUM(E434:E441)</f>
        <v>0</v>
      </c>
      <c r="F442" s="166">
        <f t="shared" si="39"/>
        <v>0.56158746488347244</v>
      </c>
      <c r="G442" s="379">
        <f>SUM(G434:H441)</f>
        <v>33492</v>
      </c>
      <c r="H442" s="379">
        <f>SUM(H434:H441)</f>
        <v>0</v>
      </c>
      <c r="I442" s="166">
        <f>IFERROR(IF(OR(AND(G442="",C442=""),AND(G442=0,C442=0)),"",
IF(OR(G442="",G442=0),1,
IF(OR(G442&lt;&gt;"",G442&lt;&gt;0),(C442-G442)/ABS(G442)))),-1)</f>
        <v>0.17837095425773319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3</v>
      </c>
      <c r="D444" s="378">
        <f>SUMIFS(Data!$AQ:$AQ,Data!$AN:$AN,MarketProfile!A444,Data!$AS:$AS,"0")</f>
        <v>0</v>
      </c>
      <c r="E444" s="378"/>
      <c r="F444" s="179">
        <f t="shared" ref="F444:F452" si="40">IFERROR(IF(OR(AND(D444="",C444=""),AND(D444=0,C444=0)),"",
IF(OR(D444="",D444=0),1,
IF(OR(D444&lt;&gt;"",D444&lt;&gt;0),(C444-D444)/ABS(D444)))),-1)</f>
        <v>1</v>
      </c>
      <c r="G444" s="378">
        <f>SUMIFS(Data!$BE:$BE,Data!$BB:$BB,MarketProfile!A444,Data!BG:BG,"0")</f>
        <v>3</v>
      </c>
      <c r="H444" s="378"/>
      <c r="I444" s="179">
        <f t="shared" ref="I444:I452" si="41">IFERROR(IF(OR(AND(G444="",C444=""),AND(G444=0,C444=0)),"",
IF(OR(G444="",G444=0),1,
IF(OR(G444&lt;&gt;"",G444&lt;&gt;0),(C444-G444)/ABS(G444)))),-1)</f>
        <v>0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71</v>
      </c>
      <c r="D445" s="378">
        <f>SUMIFS(Data!$AQ:$AQ,Data!$AN:$AN,MarketProfile!A445,Data!$AS:$AS,"0")</f>
        <v>258</v>
      </c>
      <c r="E445" s="378"/>
      <c r="F445" s="179">
        <f t="shared" si="40"/>
        <v>-0.72480620155038755</v>
      </c>
      <c r="G445" s="378">
        <f>SUMIFS(Data!$BE:$BE,Data!$BB:$BB,MarketProfile!A445,Data!BG:BG,"0")</f>
        <v>384</v>
      </c>
      <c r="H445" s="378"/>
      <c r="I445" s="179">
        <f t="shared" si="41"/>
        <v>-0.81510416666666663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432</v>
      </c>
      <c r="D446" s="378">
        <f>SUMIFS(Data!$AQ:$AQ,Data!$AN:$AN,MarketProfile!A446,Data!$AS:$AS,"0")</f>
        <v>467</v>
      </c>
      <c r="E446" s="378"/>
      <c r="F446" s="179">
        <f t="shared" si="40"/>
        <v>-7.4946466809421838E-2</v>
      </c>
      <c r="G446" s="378">
        <f>SUMIFS(Data!$BE:$BE,Data!$BB:$BB,MarketProfile!A446,Data!BG:BG,"0")</f>
        <v>503</v>
      </c>
      <c r="H446" s="378"/>
      <c r="I446" s="179">
        <f t="shared" si="41"/>
        <v>-0.14115308151093439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78">
        <f>SUMIFS(Data!$AQ:$AQ,Data!$AN:$AN,MarketProfile!A447,Data!$AS:$AS,"0")</f>
        <v>0</v>
      </c>
      <c r="E447" s="378"/>
      <c r="F447" s="179" t="str">
        <f t="shared" si="40"/>
        <v/>
      </c>
      <c r="G447" s="378">
        <f>SUMIFS(Data!$BE:$BE,Data!$BB:$BB,MarketProfile!A447,Data!BG:BG,"0")</f>
        <v>0</v>
      </c>
      <c r="H447" s="378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104</v>
      </c>
      <c r="D448" s="378">
        <f>SUMIFS(Data!$AQ:$AQ,Data!$AN:$AN,MarketProfile!A448,Data!$AS:$AS,"0")</f>
        <v>269</v>
      </c>
      <c r="E448" s="378"/>
      <c r="F448" s="179">
        <f t="shared" si="40"/>
        <v>-0.61338289962825276</v>
      </c>
      <c r="G448" s="378">
        <f>SUMIFS(Data!$BE:$BE,Data!$BB:$BB,MarketProfile!A448,Data!BG:BG,"0")</f>
        <v>472</v>
      </c>
      <c r="H448" s="378"/>
      <c r="I448" s="179">
        <f t="shared" si="41"/>
        <v>-0.77966101694915257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3526</v>
      </c>
      <c r="D449" s="378">
        <f>SUMIFS(Data!$AQ:$AQ,Data!$AN:$AN,MarketProfile!A449,Data!$AS:$AS,"0")</f>
        <v>1776</v>
      </c>
      <c r="E449" s="378"/>
      <c r="F449" s="179">
        <f t="shared" si="40"/>
        <v>0.98536036036036034</v>
      </c>
      <c r="G449" s="378">
        <f>SUMIFS(Data!$BE:$BE,Data!$BB:$BB,MarketProfile!A449,Data!BG:BG,"0")</f>
        <v>2808</v>
      </c>
      <c r="H449" s="378"/>
      <c r="I449" s="179">
        <f t="shared" si="41"/>
        <v>0.25569800569800571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1</v>
      </c>
      <c r="D450" s="378">
        <f>SUMIFS(Data!$AQ:$AQ,Data!$AN:$AN,MarketProfile!A450,Data!$AS:$AS,"0")</f>
        <v>2</v>
      </c>
      <c r="E450" s="378"/>
      <c r="F450" s="179">
        <f t="shared" si="40"/>
        <v>-0.5</v>
      </c>
      <c r="G450" s="378">
        <f>SUMIFS(Data!$BE:$BE,Data!$BB:$BB,MarketProfile!A450,Data!BG:BG,"0")</f>
        <v>0</v>
      </c>
      <c r="H450" s="378"/>
      <c r="I450" s="179">
        <f t="shared" si="41"/>
        <v>1</v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78">
        <f>SUMIFS(Data!$AQ:$AQ,Data!$AN:$AN,MarketProfile!A451,Data!$AS:$AS,"0")</f>
        <v>0</v>
      </c>
      <c r="E451" s="378"/>
      <c r="F451" s="179" t="str">
        <f t="shared" si="40"/>
        <v/>
      </c>
      <c r="G451" s="378">
        <f>SUMIFS(Data!$BE:$BE,Data!$BB:$BB,MarketProfile!A451,Data!BG:BG,"0")</f>
        <v>0</v>
      </c>
      <c r="H451" s="378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4137</v>
      </c>
      <c r="D452" s="379">
        <f>SUM(D444:E451)</f>
        <v>2772</v>
      </c>
      <c r="E452" s="379">
        <f>SUM(E444:E451)</f>
        <v>0</v>
      </c>
      <c r="F452" s="166">
        <f t="shared" si="40"/>
        <v>0.49242424242424243</v>
      </c>
      <c r="G452" s="379">
        <f>SUM(G444:H451)</f>
        <v>4170</v>
      </c>
      <c r="H452" s="379">
        <f>SUM(H444:H451)</f>
        <v>0</v>
      </c>
      <c r="I452" s="166">
        <f t="shared" si="41"/>
        <v>-7.9136690647482015E-3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23064</v>
      </c>
      <c r="D455" s="378">
        <f>SUMIFS(Data!$AP:$AP,Data!$AN:$AN,MarketProfile!A455,Data!$AS:$AS,"1")</f>
        <v>10163</v>
      </c>
      <c r="E455" s="378"/>
      <c r="F455" s="179">
        <f t="shared" ref="F455:F463" si="42">IFERROR(IF(OR(AND(D455="",C455=""),AND(D455=0,C455=0)),"",
IF(OR(D455="",D455=0),1,
IF(OR(D455&lt;&gt;"",D455&lt;&gt;0),(C455-D455)/ABS(D455)))),-1)</f>
        <v>1.2694086391813442</v>
      </c>
      <c r="G455" s="378">
        <f>SUMIFS(Data!$BD:$BD,Data!$BB:$BB,MarketProfile!A455,Data!BG:BG,"1")</f>
        <v>21977</v>
      </c>
      <c r="H455" s="378"/>
      <c r="I455" s="179">
        <f t="shared" ref="I455:I463" si="43">IFERROR(IF(OR(AND(G455="",C455=""),AND(G455=0,C455=0)),"",
IF(OR(G455="",G455=0),1,
IF(OR(G455&lt;&gt;"",G455&lt;&gt;0),(C455-G455)/ABS(G455)))),-1)</f>
        <v>4.9460799927196618E-2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49398</v>
      </c>
      <c r="D456" s="378">
        <f>SUMIFS(Data!$AP:$AP,Data!$AN:$AN,MarketProfile!A456,Data!$AS:$AS,"1")</f>
        <v>23629</v>
      </c>
      <c r="E456" s="378"/>
      <c r="F456" s="179">
        <f t="shared" si="42"/>
        <v>1.090566676541538</v>
      </c>
      <c r="G456" s="378">
        <f>SUMIFS(Data!$BD:$BD,Data!$BB:$BB,MarketProfile!A456,Data!BG:BG,"1")</f>
        <v>42572</v>
      </c>
      <c r="H456" s="378"/>
      <c r="I456" s="179">
        <f t="shared" si="43"/>
        <v>0.1603401296626891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72312</v>
      </c>
      <c r="D457" s="378">
        <f>SUMIFS(Data!$AP:$AP,Data!$AN:$AN,MarketProfile!A457,Data!$AS:$AS,"1")</f>
        <v>37435</v>
      </c>
      <c r="E457" s="378"/>
      <c r="F457" s="179">
        <f t="shared" si="42"/>
        <v>0.93166822492320023</v>
      </c>
      <c r="G457" s="378">
        <f>SUMIFS(Data!$BD:$BD,Data!$BB:$BB,MarketProfile!A457,Data!BG:BG,"1")</f>
        <v>60557</v>
      </c>
      <c r="H457" s="378"/>
      <c r="I457" s="179">
        <f t="shared" si="43"/>
        <v>0.19411463579767821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992</v>
      </c>
      <c r="D458" s="378">
        <f>SUMIFS(Data!$AP:$AP,Data!$AN:$AN,MarketProfile!A458,Data!$AS:$AS,"1")</f>
        <v>94</v>
      </c>
      <c r="E458" s="378"/>
      <c r="F458" s="179">
        <f t="shared" si="42"/>
        <v>9.5531914893617014</v>
      </c>
      <c r="G458" s="378">
        <f>SUMIFS(Data!$BD:$BD,Data!$BB:$BB,MarketProfile!A458,Data!BG:BG,"1")</f>
        <v>2601</v>
      </c>
      <c r="H458" s="378"/>
      <c r="I458" s="179">
        <f t="shared" si="43"/>
        <v>-0.61860822760476741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22724</v>
      </c>
      <c r="D459" s="378">
        <f>SUMIFS(Data!$AP:$AP,Data!$AN:$AN,MarketProfile!A459,Data!$AS:$AS,"1")</f>
        <v>25790</v>
      </c>
      <c r="E459" s="378"/>
      <c r="F459" s="179">
        <f t="shared" si="42"/>
        <v>-0.1188832880961613</v>
      </c>
      <c r="G459" s="378">
        <f>SUMIFS(Data!$BD:$BD,Data!$BB:$BB,MarketProfile!A459,Data!BG:BG,"1")</f>
        <v>36599</v>
      </c>
      <c r="H459" s="378"/>
      <c r="I459" s="179">
        <f t="shared" si="43"/>
        <v>-0.379108718817454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127382</v>
      </c>
      <c r="D460" s="378">
        <f>SUMIFS(Data!$AP:$AP,Data!$AN:$AN,MarketProfile!A460,Data!$AS:$AS,"1")</f>
        <v>72180</v>
      </c>
      <c r="E460" s="378"/>
      <c r="F460" s="179">
        <f t="shared" si="42"/>
        <v>0.76478248822388473</v>
      </c>
      <c r="G460" s="378">
        <f>SUMIFS(Data!$BD:$BD,Data!$BB:$BB,MarketProfile!A460,Data!BG:BG,"1")</f>
        <v>88003</v>
      </c>
      <c r="H460" s="378"/>
      <c r="I460" s="179">
        <f t="shared" si="43"/>
        <v>0.44747338158926403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864</v>
      </c>
      <c r="D461" s="378">
        <f>SUMIFS(Data!$AP:$AP,Data!$AN:$AN,MarketProfile!A461,Data!$AS:$AS,"1")</f>
        <v>311</v>
      </c>
      <c r="E461" s="378"/>
      <c r="F461" s="179">
        <f t="shared" si="42"/>
        <v>1.7781350482315113</v>
      </c>
      <c r="G461" s="378">
        <f>SUMIFS(Data!$BD:$BD,Data!$BB:$BB,MarketProfile!A461,Data!BG:BG,"1")</f>
        <v>839</v>
      </c>
      <c r="H461" s="378"/>
      <c r="I461" s="179">
        <f t="shared" si="43"/>
        <v>2.9797377830750895E-2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28</v>
      </c>
      <c r="D462" s="378">
        <f>SUMIFS(Data!$AP:$AP,Data!$AN:$AN,MarketProfile!A462,Data!$AS:$AS,"1")</f>
        <v>8</v>
      </c>
      <c r="E462" s="378"/>
      <c r="F462" s="179">
        <f t="shared" si="42"/>
        <v>2.5</v>
      </c>
      <c r="G462" s="378">
        <f>SUMIFS(Data!$BD:$BD,Data!$BB:$BB,MarketProfile!A462,Data!BG:BG,"1")</f>
        <v>10</v>
      </c>
      <c r="H462" s="378"/>
      <c r="I462" s="179">
        <f t="shared" si="43"/>
        <v>1.8</v>
      </c>
    </row>
    <row r="463" spans="1:9" x14ac:dyDescent="0.2">
      <c r="A463" s="246" t="s">
        <v>187</v>
      </c>
      <c r="B463" s="247"/>
      <c r="C463" s="4">
        <f>SUM(C455:C462)</f>
        <v>296764</v>
      </c>
      <c r="D463" s="379">
        <f>SUM(D455:E462)</f>
        <v>169610</v>
      </c>
      <c r="E463" s="379">
        <f>SUM(E455:E462)</f>
        <v>0</v>
      </c>
      <c r="F463" s="166">
        <f t="shared" si="42"/>
        <v>0.74968457048523085</v>
      </c>
      <c r="G463" s="379">
        <f>SUM(G455:H462)</f>
        <v>253158</v>
      </c>
      <c r="H463" s="379">
        <f>SUM(H455:H462)</f>
        <v>0</v>
      </c>
      <c r="I463" s="166">
        <f t="shared" si="43"/>
        <v>0.1722481612273758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3</v>
      </c>
      <c r="D465" s="378">
        <f>SUMIFS(Data!$AP:$AP,Data!$AN:$AN,MarketProfile!A465,Data!$AS:$AS,"0")</f>
        <v>0</v>
      </c>
      <c r="E465" s="378"/>
      <c r="F465" s="179">
        <f t="shared" ref="F465:F473" si="44">IFERROR(IF(OR(AND(D465="",C465=""),AND(D465=0,C465=0)),"",
IF(OR(D465="",D465=0),1,
IF(OR(D465&lt;&gt;"",D465&lt;&gt;0),(C465-D465)/ABS(D465)))),-1)</f>
        <v>1</v>
      </c>
      <c r="G465" s="378">
        <f>SUMIFS(Data!$BD:$BD,Data!$BB:$BB,MarketProfile!A465,Data!BG:BG,"0")</f>
        <v>220</v>
      </c>
      <c r="H465" s="378"/>
      <c r="I465" s="179">
        <f t="shared" ref="I465:I473" si="45">IFERROR(IF(OR(AND(G465="",C465=""),AND(G465=0,C465=0)),"",
IF(OR(G465="",G465=0),1,
IF(OR(G465&lt;&gt;"",G465&lt;&gt;0),(C465-G465)/ABS(G465)))),-1)</f>
        <v>-0.98636363636363633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412</v>
      </c>
      <c r="D466" s="378">
        <f>SUMIFS(Data!$AP:$AP,Data!$AN:$AN,MarketProfile!A466,Data!$AS:$AS,"0")</f>
        <v>3830</v>
      </c>
      <c r="E466" s="378"/>
      <c r="F466" s="179">
        <f t="shared" si="44"/>
        <v>-0.89242819843342036</v>
      </c>
      <c r="G466" s="378">
        <f>SUMIFS(Data!$BD:$BD,Data!$BB:$BB,MarketProfile!A466,Data!BG:BG,"0")</f>
        <v>5295</v>
      </c>
      <c r="H466" s="378"/>
      <c r="I466" s="179">
        <f t="shared" si="45"/>
        <v>-0.92219074598677997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5372</v>
      </c>
      <c r="D467" s="378">
        <f>SUMIFS(Data!$AP:$AP,Data!$AN:$AN,MarketProfile!A467,Data!$AS:$AS,"0")</f>
        <v>4523</v>
      </c>
      <c r="E467" s="378"/>
      <c r="F467" s="179">
        <f t="shared" si="44"/>
        <v>0.18770727393323017</v>
      </c>
      <c r="G467" s="378">
        <f>SUMIFS(Data!$BD:$BD,Data!$BB:$BB,MarketProfile!A467,Data!BG:BG,"0")</f>
        <v>4063</v>
      </c>
      <c r="H467" s="378"/>
      <c r="I467" s="179">
        <f t="shared" si="45"/>
        <v>0.32217573221757323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78">
        <f>SUMIFS(Data!$AP:$AP,Data!$AN:$AN,MarketProfile!A468,Data!$AS:$AS,"0")</f>
        <v>0</v>
      </c>
      <c r="E468" s="378"/>
      <c r="F468" s="179" t="str">
        <f t="shared" si="44"/>
        <v/>
      </c>
      <c r="G468" s="378">
        <f>SUMIFS(Data!$BD:$BD,Data!$BB:$BB,MarketProfile!A468,Data!BG:BG,"0")</f>
        <v>0</v>
      </c>
      <c r="H468" s="378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2384</v>
      </c>
      <c r="D469" s="378">
        <f>SUMIFS(Data!$AP:$AP,Data!$AN:$AN,MarketProfile!A469,Data!$AS:$AS,"0")</f>
        <v>3841</v>
      </c>
      <c r="E469" s="378"/>
      <c r="F469" s="179">
        <f t="shared" si="44"/>
        <v>-0.37932829992189532</v>
      </c>
      <c r="G469" s="378">
        <f>SUMIFS(Data!$BD:$BD,Data!$BB:$BB,MarketProfile!A469,Data!BG:BG,"0")</f>
        <v>5074</v>
      </c>
      <c r="H469" s="378"/>
      <c r="I469" s="179">
        <f t="shared" si="45"/>
        <v>-0.53015372487189594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28448</v>
      </c>
      <c r="D470" s="378">
        <f>SUMIFS(Data!$AP:$AP,Data!$AN:$AN,MarketProfile!A470,Data!$AS:$AS,"0")</f>
        <v>13472</v>
      </c>
      <c r="E470" s="378"/>
      <c r="F470" s="179">
        <f t="shared" si="44"/>
        <v>1.1116389548693586</v>
      </c>
      <c r="G470" s="378">
        <f>SUMIFS(Data!$BD:$BD,Data!$BB:$BB,MarketProfile!A470,Data!BG:BG,"0")</f>
        <v>16157</v>
      </c>
      <c r="H470" s="378"/>
      <c r="I470" s="179">
        <f t="shared" si="45"/>
        <v>0.76072290648016339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10</v>
      </c>
      <c r="D471" s="378">
        <f>SUMIFS(Data!$AP:$AP,Data!$AN:$AN,MarketProfile!A471,Data!$AS:$AS,"0")</f>
        <v>20</v>
      </c>
      <c r="E471" s="378"/>
      <c r="F471" s="179">
        <f t="shared" si="44"/>
        <v>-0.5</v>
      </c>
      <c r="G471" s="378">
        <f>SUMIFS(Data!$BD:$BD,Data!$BB:$BB,MarketProfile!A471,Data!BG:BG,"0")</f>
        <v>0</v>
      </c>
      <c r="H471" s="378"/>
      <c r="I471" s="179">
        <f t="shared" si="45"/>
        <v>1</v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78">
        <f>SUMIFS(Data!$AP:$AP,Data!$AN:$AN,MarketProfile!A472,Data!$AS:$AS,"0")</f>
        <v>0</v>
      </c>
      <c r="E472" s="378"/>
      <c r="F472" s="179" t="str">
        <f t="shared" si="44"/>
        <v/>
      </c>
      <c r="G472" s="378">
        <f>SUMIFS(Data!$BD:$BD,Data!$BB:$BB,MarketProfile!A472,Data!BG:BG,"0")</f>
        <v>0</v>
      </c>
      <c r="H472" s="378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36629</v>
      </c>
      <c r="D473" s="379">
        <f>SUM(D465:E472)</f>
        <v>25686</v>
      </c>
      <c r="E473" s="379">
        <v>34213</v>
      </c>
      <c r="F473" s="166">
        <f t="shared" si="44"/>
        <v>0.42602974382932335</v>
      </c>
      <c r="G473" s="379">
        <f>SUM(G465:H472)</f>
        <v>30809</v>
      </c>
      <c r="H473" s="379">
        <f>SUM(H465:H472)</f>
        <v>0</v>
      </c>
      <c r="I473" s="166">
        <f t="shared" si="45"/>
        <v>0.18890583920283033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4864242.1508200001</v>
      </c>
      <c r="D476" s="378">
        <f>SUMIFS(Data!$AO:$AO,Data!$AN:$AN,MarketProfile!A476,Data!$AS:$AS,"1")/1000</f>
        <v>2094453.1784699999</v>
      </c>
      <c r="E476" s="378"/>
      <c r="F476" s="179">
        <f t="shared" ref="F476:F484" si="46">IFERROR(IF(OR(AND(D476="",C476=""),AND(D476=0,C476=0)),"",
IF(OR(D476="",D476=0),1,
IF(OR(D476&lt;&gt;"",D476&lt;&gt;0),(C476-D476)/ABS(D476)))),-1)</f>
        <v>1.3224401484941926</v>
      </c>
      <c r="G476" s="378">
        <f>SUMIFS(Data!$BC:$BC,Data!$BB:$BB,MarketProfile!A476,Data!BG:BG,"1")/1000</f>
        <v>4498448.3325100001</v>
      </c>
      <c r="H476" s="378"/>
      <c r="I476" s="179">
        <f t="shared" ref="I476:I484" si="47">IFERROR(IF(OR(AND(G476="",C476=""),AND(G476=0,C476=0)),"",
IF(OR(G476="",G476=0),1,
IF(OR(G476&lt;&gt;"",G476&lt;&gt;0),(C476-G476)/ABS(G476)))),-1)</f>
        <v>8.131555400257269E-2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11595286.7785</v>
      </c>
      <c r="D477" s="378">
        <f>SUMIFS(Data!$AO:$AO,Data!$AN:$AN,MarketProfile!A477,Data!$AS:$AS,"1")/1000</f>
        <v>5756310.8380800001</v>
      </c>
      <c r="E477" s="378"/>
      <c r="F477" s="179">
        <f t="shared" si="46"/>
        <v>1.0143607780513071</v>
      </c>
      <c r="G477" s="378">
        <f>SUMIFS(Data!$BC:$BC,Data!$BB:$BB,MarketProfile!A477,Data!BG:BG,"1")/1000</f>
        <v>10841293.826555001</v>
      </c>
      <c r="H477" s="378"/>
      <c r="I477" s="179">
        <f t="shared" si="47"/>
        <v>6.9548244333913878E-2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17414099.59279</v>
      </c>
      <c r="D478" s="378">
        <f>SUMIFS(Data!$AO:$AO,Data!$AN:$AN,MarketProfile!A478,Data!$AS:$AS,"1")/1000</f>
        <v>7759898.0208000001</v>
      </c>
      <c r="E478" s="378"/>
      <c r="F478" s="179">
        <f t="shared" si="46"/>
        <v>1.2441144904369128</v>
      </c>
      <c r="G478" s="378">
        <f>SUMIFS(Data!$BC:$BC,Data!$BB:$BB,MarketProfile!A478,Data!BG:BG,"1")/1000</f>
        <v>12959789.263739999</v>
      </c>
      <c r="H478" s="378"/>
      <c r="I478" s="179">
        <f t="shared" si="47"/>
        <v>0.34370237342613658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172178.770261</v>
      </c>
      <c r="D479" s="378">
        <f>SUMIFS(Data!$AO:$AO,Data!$AN:$AN,MarketProfile!A479,Data!$AS:$AS,"1")/1000</f>
        <v>16739.54</v>
      </c>
      <c r="E479" s="378"/>
      <c r="F479" s="179">
        <f t="shared" si="46"/>
        <v>9.2857527901603021</v>
      </c>
      <c r="G479" s="378">
        <f>SUMIFS(Data!$BC:$BC,Data!$BB:$BB,MarketProfile!A479,Data!BG:BG,"1")/1000</f>
        <v>486454.09885000001</v>
      </c>
      <c r="H479" s="378"/>
      <c r="I479" s="179">
        <f t="shared" si="47"/>
        <v>-0.64605340839343617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5826893.6274700006</v>
      </c>
      <c r="D480" s="378">
        <f>SUMIFS(Data!$AO:$AO,Data!$AN:$AN,MarketProfile!A480,Data!$AS:$AS,"1")/1000</f>
        <v>5960042.647655</v>
      </c>
      <c r="E480" s="378"/>
      <c r="F480" s="179">
        <f t="shared" si="46"/>
        <v>-2.2340279769203882E-2</v>
      </c>
      <c r="G480" s="378">
        <f>SUMIFS(Data!$BC:$BC,Data!$BB:$BB,MarketProfile!A480,Data!BG:BG,"1")/1000</f>
        <v>8615622.9797200002</v>
      </c>
      <c r="H480" s="378"/>
      <c r="I480" s="179">
        <f t="shared" si="47"/>
        <v>-0.32368284438795519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31082332.841879979</v>
      </c>
      <c r="D481" s="378">
        <f>SUMIFS(Data!$AO:$AO,Data!$AN:$AN,MarketProfile!A481,Data!$AS:$AS,"1")/1000</f>
        <v>14169646.51032</v>
      </c>
      <c r="E481" s="378"/>
      <c r="F481" s="179">
        <f t="shared" si="46"/>
        <v>1.1935856211544991</v>
      </c>
      <c r="G481" s="378">
        <f>SUMIFS(Data!$BC:$BC,Data!$BB:$BB,MarketProfile!A481,Data!BG:BG,"1")/1000</f>
        <v>18011591.897630002</v>
      </c>
      <c r="H481" s="378"/>
      <c r="I481" s="179">
        <f t="shared" si="47"/>
        <v>0.72568493770780185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103520.64954000001</v>
      </c>
      <c r="D482" s="378">
        <f>SUMIFS(Data!$AO:$AO,Data!$AN:$AN,MarketProfile!A482,Data!$AS:$AS,"1")/1000</f>
        <v>40253.525099999999</v>
      </c>
      <c r="E482" s="378"/>
      <c r="F482" s="179">
        <f t="shared" si="46"/>
        <v>1.5717163722389127</v>
      </c>
      <c r="G482" s="378">
        <f>SUMIFS(Data!$BC:$BC,Data!$BB:$BB,MarketProfile!A482,Data!BG:BG,"1")/1000</f>
        <v>114255.870316</v>
      </c>
      <c r="H482" s="378"/>
      <c r="I482" s="179">
        <f t="shared" si="47"/>
        <v>-9.3957717413637898E-2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2174.62</v>
      </c>
      <c r="D483" s="378">
        <f>SUMIFS(Data!$AO:$AO,Data!$AN:$AN,MarketProfile!A483,Data!$AS:$AS,"1")/1000</f>
        <v>573</v>
      </c>
      <c r="E483" s="378"/>
      <c r="F483" s="179">
        <f t="shared" si="46"/>
        <v>2.7951483420593366</v>
      </c>
      <c r="G483" s="378">
        <f>SUMIFS(Data!$BC:$BC,Data!$BB:$BB,MarketProfile!A483,Data!BG:BG,"1")/1000</f>
        <v>827.9</v>
      </c>
      <c r="H483" s="378"/>
      <c r="I483" s="179">
        <f t="shared" si="47"/>
        <v>1.6266698876675925</v>
      </c>
    </row>
    <row r="484" spans="1:9" x14ac:dyDescent="0.2">
      <c r="A484" s="246" t="s">
        <v>187</v>
      </c>
      <c r="B484" s="247"/>
      <c r="C484" s="4">
        <f>SUM(C476:C483)</f>
        <v>71060729.031260997</v>
      </c>
      <c r="D484" s="379">
        <f>SUM(D476:E483)</f>
        <v>35797917.260424994</v>
      </c>
      <c r="E484" s="379">
        <f>SUM(E476:E483)</f>
        <v>0</v>
      </c>
      <c r="F484" s="166">
        <f t="shared" si="46"/>
        <v>0.98505204965707438</v>
      </c>
      <c r="G484" s="379">
        <f>SUM(G476:H483)</f>
        <v>55528284.169321008</v>
      </c>
      <c r="H484" s="379">
        <f>SUM(H476:H483)</f>
        <v>0</v>
      </c>
      <c r="I484" s="166">
        <f t="shared" si="47"/>
        <v>0.27972131850098758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26.72</v>
      </c>
      <c r="D486" s="378">
        <f>SUMIFS(Data!$AO:$AO,Data!$AN:$AN,MarketProfile!A486,Data!$AS:$AS,"0")/1000</f>
        <v>0</v>
      </c>
      <c r="E486" s="378"/>
      <c r="F486" s="179">
        <f t="shared" ref="F486:F494" si="48">IFERROR(IF(OR(AND(D486="",C486=""),AND(D486=0,C486=0)),"",
IF(OR(D486="",D486=0),1,
IF(OR(D486&lt;&gt;"",D486&lt;&gt;0),(C486-D486)/ABS(D486)))),-1)</f>
        <v>1</v>
      </c>
      <c r="G486" s="378">
        <f>SUMIFS(Data!$BC:$BC,Data!$BB:$BB,MarketProfile!A486,Data!BG:BG,"0")/1000</f>
        <v>1515.0813999999998</v>
      </c>
      <c r="H486" s="378"/>
      <c r="I486" s="179">
        <f t="shared" ref="I486:I494" si="49">IFERROR(IF(OR(AND(G486="",C486=""),AND(G486=0,C486=0)),"",
IF(OR(G486="",G486=0),1,
IF(OR(G486&lt;&gt;"",G486&lt;&gt;0),(C486-G486)/ABS(G486)))),-1)</f>
        <v>-0.98236398387571777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2499.1551800000002</v>
      </c>
      <c r="D487" s="378">
        <f>SUMIFS(Data!$AO:$AO,Data!$AN:$AN,MarketProfile!A487,Data!$AS:$AS,"0")/1000</f>
        <v>48885.299759999994</v>
      </c>
      <c r="E487" s="378"/>
      <c r="F487" s="179">
        <f t="shared" si="48"/>
        <v>-0.94887716364081875</v>
      </c>
      <c r="G487" s="378">
        <f>SUMIFS(Data!$BC:$BC,Data!$BB:$BB,MarketProfile!A487,Data!BG:BG,"0")/1000</f>
        <v>43938.200680000002</v>
      </c>
      <c r="H487" s="378"/>
      <c r="I487" s="179">
        <f t="shared" si="49"/>
        <v>-0.94312113055786606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52537.113789999996</v>
      </c>
      <c r="D488" s="378">
        <f>SUMIFS(Data!$AO:$AO,Data!$AN:$AN,MarketProfile!A488,Data!$AS:$AS,"0")/1000</f>
        <v>42128.549650000001</v>
      </c>
      <c r="E488" s="378"/>
      <c r="F488" s="179">
        <f t="shared" si="48"/>
        <v>0.24706675702043768</v>
      </c>
      <c r="G488" s="378">
        <f>SUMIFS(Data!$BC:$BC,Data!$BB:$BB,MarketProfile!A488,Data!BG:BG,"0")/1000</f>
        <v>44840.94382</v>
      </c>
      <c r="H488" s="378"/>
      <c r="I488" s="179">
        <f t="shared" si="49"/>
        <v>0.17163264896684316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78">
        <f>SUMIFS(Data!$AO:$AO,Data!$AN:$AN,MarketProfile!A489,Data!$AS:$AS,"0")/1000</f>
        <v>0</v>
      </c>
      <c r="E489" s="378"/>
      <c r="F489" s="179" t="str">
        <f t="shared" si="48"/>
        <v/>
      </c>
      <c r="G489" s="378">
        <f>SUMIFS(Data!$BC:$BC,Data!$BB:$BB,MarketProfile!A489,Data!BG:BG,"0")/1000</f>
        <v>0</v>
      </c>
      <c r="H489" s="378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8151.08259</v>
      </c>
      <c r="D490" s="378">
        <f>SUMIFS(Data!$AO:$AO,Data!$AN:$AN,MarketProfile!A490,Data!$AS:$AS,"0")/1000</f>
        <v>28584.925139999999</v>
      </c>
      <c r="E490" s="378"/>
      <c r="F490" s="179">
        <f t="shared" si="48"/>
        <v>-0.71484680998538386</v>
      </c>
      <c r="G490" s="378">
        <f>SUMIFS(Data!$BC:$BC,Data!$BB:$BB,MarketProfile!A490,Data!BG:BG,"0")/1000</f>
        <v>45697.863600000004</v>
      </c>
      <c r="H490" s="378"/>
      <c r="I490" s="179">
        <f t="shared" si="49"/>
        <v>-0.82163099217618574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326513.84990999004</v>
      </c>
      <c r="D491" s="378">
        <f>SUMIFS(Data!$AO:$AO,Data!$AN:$AN,MarketProfile!A491,Data!$AS:$AS,"0")/1000</f>
        <v>130398.43017000001</v>
      </c>
      <c r="E491" s="378"/>
      <c r="F491" s="179">
        <f>IFERROR(IF(OR(AND(D491="",C491=""),AND(D491=0,C491=0)),"",
IF(OR(D491="",D491=0),1,
IF(OR(D491&lt;&gt;"",D491&lt;&gt;0),(C491-D491)/ABS(D491)))),-1)</f>
        <v>1.5039707110301481</v>
      </c>
      <c r="G491" s="378">
        <f>SUMIFS(Data!$BC:$BC,Data!$BB:$BB,MarketProfile!A491,Data!BG:BG,"0")/1000</f>
        <v>170416.28653000001</v>
      </c>
      <c r="H491" s="378"/>
      <c r="I491" s="179">
        <f t="shared" si="49"/>
        <v>0.91597796524283892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2.4</v>
      </c>
      <c r="D492" s="378">
        <f>SUMIFS(Data!$AO:$AO,Data!$AN:$AN,MarketProfile!A492,Data!$AS:$AS,"0")/1000</f>
        <v>31.760200000000001</v>
      </c>
      <c r="E492" s="378"/>
      <c r="F492" s="179">
        <f t="shared" si="48"/>
        <v>-0.92443372522843059</v>
      </c>
      <c r="G492" s="378">
        <f>SUMIFS(Data!$BC:$BC,Data!$BB:$BB,MarketProfile!A492,Data!BG:BG,"0")/1000</f>
        <v>0</v>
      </c>
      <c r="H492" s="378"/>
      <c r="I492" s="179">
        <f t="shared" si="49"/>
        <v>1</v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78">
        <f>SUMIFS(Data!$AO:$AO,Data!$AN:$AN,MarketProfile!A493,Data!$AS:$AS,"0")/1000</f>
        <v>0</v>
      </c>
      <c r="E493" s="378"/>
      <c r="F493" s="179" t="str">
        <f t="shared" si="48"/>
        <v/>
      </c>
      <c r="G493" s="378">
        <f>SUMIFS(Data!$BC:$BC,Data!$BB:$BB,MarketProfile!A493,Data!BG:BG,"0")/1000</f>
        <v>0</v>
      </c>
      <c r="H493" s="378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389730.32146999007</v>
      </c>
      <c r="D494" s="379">
        <f>SUM(D486:E493)</f>
        <v>250028.96492</v>
      </c>
      <c r="E494" s="379">
        <f>SUM(E486:E493)</f>
        <v>0</v>
      </c>
      <c r="F494" s="166">
        <f t="shared" si="48"/>
        <v>0.5587406906823349</v>
      </c>
      <c r="G494" s="379">
        <f>SUM(G486:H493)</f>
        <v>306408.37603000004</v>
      </c>
      <c r="H494" s="379">
        <f>SUM(H486:H493)</f>
        <v>0</v>
      </c>
      <c r="I494" s="166">
        <f t="shared" si="49"/>
        <v>0.27193103047493744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16121</v>
      </c>
      <c r="D497" s="378">
        <f>SUMIFS(Data!$AY:$AY,Data!$AU:$AU,MarketProfile!A497,Data!$AZ:$AZ,"1")</f>
        <v>20228</v>
      </c>
      <c r="E497" s="378"/>
      <c r="F497" s="179">
        <f t="shared" ref="F497:F512" si="50">IFERROR(IF(OR(AND(D497="",C497=""),AND(D497=0,C497=0)),"",
IF(OR(D497="",D497=0),1,
IF(OR(D497&lt;&gt;"",D497&lt;&gt;0),(C497-D497)/ABS(D497)))),-1)</f>
        <v>-0.20303539648012656</v>
      </c>
      <c r="G497" s="378">
        <f>SUMIFS(Data!$BL:$BL,Data!$BH:$BH,MarketProfile!A497,Data!$BM:$BM,"1")</f>
        <v>18999</v>
      </c>
      <c r="H497" s="378"/>
      <c r="I497" s="179">
        <f t="shared" ref="I497:I504" si="51">IFERROR(IF(OR(AND(G497="",C497=""),AND(G497=0,C497=0)),"",
IF(OR(G497="",G497=0),1,
IF(OR(G497&lt;&gt;"",G497&lt;&gt;0),(C497-G497)/ABS(G497)))),-1)</f>
        <v>-0.15148165692931206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15476</v>
      </c>
      <c r="D498" s="378">
        <f>SUMIFS(Data!$AY:$AY,Data!$AU:$AU,MarketProfile!A498,Data!$AZ:$AZ,"1")</f>
        <v>18296</v>
      </c>
      <c r="E498" s="378"/>
      <c r="F498" s="179">
        <f t="shared" si="50"/>
        <v>-0.15413205072146918</v>
      </c>
      <c r="G498" s="378">
        <f>SUMIFS(Data!$BL:$BL,Data!$BH:$BH,MarketProfile!A498,Data!$BM:$BM,"1")</f>
        <v>15832</v>
      </c>
      <c r="H498" s="378"/>
      <c r="I498" s="179">
        <f t="shared" si="51"/>
        <v>-2.2486104092976252E-2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26827</v>
      </c>
      <c r="D499" s="378">
        <f>SUMIFS(Data!$AY:$AY,Data!$AU:$AU,MarketProfile!A499,Data!$AZ:$AZ,"1")</f>
        <v>27368</v>
      </c>
      <c r="E499" s="378"/>
      <c r="F499" s="179">
        <f t="shared" si="50"/>
        <v>-1.9767611809412451E-2</v>
      </c>
      <c r="G499" s="378">
        <f>SUMIFS(Data!$BL:$BL,Data!$BH:$BH,MarketProfile!A499,Data!$BM:$BM,"1")</f>
        <v>24211</v>
      </c>
      <c r="H499" s="378"/>
      <c r="I499" s="179">
        <f t="shared" si="51"/>
        <v>0.10805005989013258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362</v>
      </c>
      <c r="D500" s="378">
        <f>SUMIFS(Data!$AY:$AY,Data!$AU:$AU,MarketProfile!A500,Data!$AZ:$AZ,"1")</f>
        <v>1308</v>
      </c>
      <c r="E500" s="378"/>
      <c r="F500" s="179">
        <f t="shared" si="50"/>
        <v>-0.72324159021406731</v>
      </c>
      <c r="G500" s="378">
        <f>SUMIFS(Data!$BL:$BL,Data!$BH:$BH,MarketProfile!A500,Data!$BM:$BM,"1")</f>
        <v>1287</v>
      </c>
      <c r="H500" s="378"/>
      <c r="I500" s="179">
        <f t="shared" si="51"/>
        <v>-0.71872571872571878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7564</v>
      </c>
      <c r="D501" s="378">
        <f>SUMIFS(Data!$AY:$AY,Data!$AU:$AU,MarketProfile!A501,Data!$AZ:$AZ,"1")</f>
        <v>11271</v>
      </c>
      <c r="E501" s="378"/>
      <c r="F501" s="179">
        <f t="shared" si="50"/>
        <v>-0.32889716972761956</v>
      </c>
      <c r="G501" s="378">
        <f>SUMIFS(Data!$BL:$BL,Data!$BH:$BH,MarketProfile!A501,Data!$BM:$BM,"1")</f>
        <v>8991</v>
      </c>
      <c r="H501" s="378"/>
      <c r="I501" s="179">
        <f t="shared" si="51"/>
        <v>-0.15871426982538095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32479</v>
      </c>
      <c r="D502" s="378">
        <f>SUMIFS(Data!$AY:$AY,Data!$AU:$AU,MarketProfile!A502,Data!$AZ:$AZ,"1")</f>
        <v>41197</v>
      </c>
      <c r="E502" s="378"/>
      <c r="F502" s="179">
        <f t="shared" si="50"/>
        <v>-0.21161735077796928</v>
      </c>
      <c r="G502" s="378">
        <f>SUMIFS(Data!$BL:$BL,Data!$BH:$BH,MarketProfile!A502,Data!$BM:$BM,"1")</f>
        <v>39399</v>
      </c>
      <c r="H502" s="378"/>
      <c r="I502" s="179">
        <f t="shared" si="51"/>
        <v>-0.17563897560851799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241</v>
      </c>
      <c r="D503" s="378">
        <f>SUMIFS(Data!$AY:$AY,Data!$AU:$AU,MarketProfile!A503,Data!$AZ:$AZ,"1")</f>
        <v>368</v>
      </c>
      <c r="E503" s="378"/>
      <c r="F503" s="179">
        <f t="shared" si="50"/>
        <v>-0.34510869565217389</v>
      </c>
      <c r="G503" s="378">
        <f>SUMIFS(Data!$BL:$BL,Data!$BH:$BH,MarketProfile!A503,Data!$BM:$BM,"1")</f>
        <v>523</v>
      </c>
      <c r="H503" s="378"/>
      <c r="I503" s="179">
        <f t="shared" si="51"/>
        <v>-0.53919694072657742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27</v>
      </c>
      <c r="D504" s="378">
        <f>SUMIFS(Data!$AY:$AY,Data!$AU:$AU,MarketProfile!A504,Data!$AZ:$AZ,"1")</f>
        <v>4</v>
      </c>
      <c r="E504" s="378"/>
      <c r="F504" s="179">
        <f t="shared" si="50"/>
        <v>5.75</v>
      </c>
      <c r="G504" s="378">
        <f>SUMIFS(Data!$BL:$BL,Data!$BH:$BH,MarketProfile!A504,Data!$BM:$BM,"1")</f>
        <v>6</v>
      </c>
      <c r="H504" s="378"/>
      <c r="I504" s="179">
        <f t="shared" si="51"/>
        <v>3.5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0</v>
      </c>
      <c r="D506" s="378">
        <f>SUMIFS(Data!$AY:$AY,Data!$AU:$AU,MarketProfile!A506,Data!$AZ:$AZ,"0")</f>
        <v>0</v>
      </c>
      <c r="E506" s="378"/>
      <c r="F506" s="179" t="str">
        <f t="shared" si="50"/>
        <v/>
      </c>
      <c r="G506" s="378">
        <f>SUMIFS(Data!$BL:$BL,Data!$BH:$BH,MarketProfile!A506,Data!$BM:$BM,"0")</f>
        <v>220</v>
      </c>
      <c r="H506" s="378"/>
      <c r="I506" s="179">
        <f t="shared" ref="I506:I513" si="52">IFERROR(IF(OR(AND(G506="",C506=""),AND(G506=0,C506=0)),"",
IF(OR(G506="",G506=0),1,
IF(OR(G506&lt;&gt;"",G506&lt;&gt;0),(C506-G506)/ABS(G506)))),-1)</f>
        <v>-1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1472</v>
      </c>
      <c r="D507" s="378">
        <f>SUMIFS(Data!$AY:$AY,Data!$AU:$AU,MarketProfile!A507,Data!$AZ:$AZ,"0")</f>
        <v>5047</v>
      </c>
      <c r="E507" s="378"/>
      <c r="F507" s="179">
        <f t="shared" si="50"/>
        <v>-0.70834158906280964</v>
      </c>
      <c r="G507" s="378">
        <f>SUMIFS(Data!$BL:$BL,Data!$BH:$BH,MarketProfile!A507,Data!$BM:$BM,"0")</f>
        <v>3247</v>
      </c>
      <c r="H507" s="378"/>
      <c r="I507" s="179">
        <f t="shared" si="52"/>
        <v>-0.54665845395749924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12323</v>
      </c>
      <c r="D508" s="378">
        <f>SUMIFS(Data!$AY:$AY,Data!$AU:$AU,MarketProfile!A508,Data!$AZ:$AZ,"0")</f>
        <v>10871</v>
      </c>
      <c r="E508" s="378"/>
      <c r="F508" s="179">
        <f t="shared" si="50"/>
        <v>0.13356636923926041</v>
      </c>
      <c r="G508" s="378">
        <f>SUMIFS(Data!$BL:$BL,Data!$BH:$BH,MarketProfile!A508,Data!$BM:$BM,"0")</f>
        <v>8810</v>
      </c>
      <c r="H508" s="378"/>
      <c r="I508" s="179">
        <f t="shared" si="52"/>
        <v>0.39875141884222476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78">
        <f>SUMIFS(Data!$AY:$AY,Data!$AU:$AU,MarketProfile!A509,Data!$AZ:$AZ,"0")</f>
        <v>0</v>
      </c>
      <c r="E509" s="378"/>
      <c r="F509" s="179" t="str">
        <f t="shared" si="50"/>
        <v/>
      </c>
      <c r="G509" s="378">
        <f>SUMIFS(Data!$BL:$BL,Data!$BH:$BH,MarketProfile!A509,Data!$BM:$BM,"0")</f>
        <v>0</v>
      </c>
      <c r="H509" s="378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1275</v>
      </c>
      <c r="D510" s="378">
        <f>SUMIFS(Data!$AY:$AY,Data!$AU:$AU,MarketProfile!A510,Data!$AZ:$AZ,"0")</f>
        <v>4855</v>
      </c>
      <c r="E510" s="378"/>
      <c r="F510" s="179">
        <f t="shared" si="50"/>
        <v>-0.73738414006179198</v>
      </c>
      <c r="G510" s="378">
        <f>SUMIFS(Data!$BL:$BL,Data!$BH:$BH,MarketProfile!A510,Data!$BM:$BM,"0")</f>
        <v>3501</v>
      </c>
      <c r="H510" s="378"/>
      <c r="I510" s="179">
        <f t="shared" si="52"/>
        <v>-0.63581833761782347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37431</v>
      </c>
      <c r="D511" s="378">
        <f>SUMIFS(Data!$AY:$AY,Data!$AU:$AU,MarketProfile!A511,Data!$AZ:$AZ,"0")</f>
        <v>37354</v>
      </c>
      <c r="E511" s="378"/>
      <c r="F511" s="179">
        <f t="shared" si="50"/>
        <v>2.0613588906141242E-3</v>
      </c>
      <c r="G511" s="378">
        <f>SUMIFS(Data!$BL:$BL,Data!$BH:$BH,MarketProfile!A511,Data!$BM:$BM,"0")</f>
        <v>31053</v>
      </c>
      <c r="H511" s="378"/>
      <c r="I511" s="179">
        <f t="shared" si="52"/>
        <v>0.20539078349917883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50</v>
      </c>
      <c r="D512" s="378">
        <f>SUMIFS(Data!$AY:$AY,Data!$AU:$AU,MarketProfile!A512,Data!$AZ:$AZ,"0")</f>
        <v>60</v>
      </c>
      <c r="E512" s="378"/>
      <c r="F512" s="179">
        <f t="shared" si="50"/>
        <v>-0.16666666666666666</v>
      </c>
      <c r="G512" s="378">
        <f>SUMIFS(Data!$BL:$BL,Data!$BH:$BH,MarketProfile!A512,Data!$BM:$BM,"0")</f>
        <v>60</v>
      </c>
      <c r="H512" s="378"/>
      <c r="I512" s="179">
        <f t="shared" si="52"/>
        <v>-0.16666666666666666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78">
        <f>SUMIFS(Data!$AY:$AY,Data!$AU:$AU,MarketProfile!A513,Data!$AZ:$AZ,"0")</f>
        <v>0</v>
      </c>
      <c r="E513" s="378"/>
      <c r="F513" s="179" t="str">
        <f t="shared" ref="F513" si="53">IFERROR(IF(OR(AND(C513="",D513=""),AND(C513=0,D513=0)),"",
IF(OR(C513="",C513=0),1,
IF(OR(C513&lt;&gt;"",C513&lt;&gt;0),(D513-C513)/ABS(C513)))),-1)</f>
        <v/>
      </c>
      <c r="G513" s="378">
        <f>SUMIFS(Data!$BL:$BL,Data!$BH:$BH,MarketProfile!A513,Data!$BM:$BM,"0")</f>
        <v>0</v>
      </c>
      <c r="H513" s="378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9" max="16383" man="1"/>
    <brk id="251" max="16383" man="1"/>
    <brk id="334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538</v>
      </c>
      <c r="C1" s="188" t="s">
        <v>539</v>
      </c>
      <c r="D1" s="188" t="s">
        <v>540</v>
      </c>
      <c r="E1" s="153" t="s">
        <v>217</v>
      </c>
      <c r="F1" s="211" t="s">
        <v>540</v>
      </c>
      <c r="G1" s="211" t="s">
        <v>538</v>
      </c>
      <c r="H1" s="211" t="s">
        <v>539</v>
      </c>
      <c r="I1" s="153" t="s">
        <v>218</v>
      </c>
      <c r="J1" s="153" t="s">
        <v>220</v>
      </c>
      <c r="K1" s="235" t="s">
        <v>541</v>
      </c>
      <c r="L1" s="235" t="s">
        <v>542</v>
      </c>
      <c r="M1" s="237" t="s">
        <v>539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565</v>
      </c>
      <c r="T1" s="257" t="s">
        <v>566</v>
      </c>
      <c r="U1" s="257" t="s">
        <v>567</v>
      </c>
      <c r="V1" s="257" t="s">
        <v>568</v>
      </c>
      <c r="W1" s="257" t="s">
        <v>569</v>
      </c>
      <c r="X1" s="257" t="s">
        <v>570</v>
      </c>
      <c r="Y1" s="252" t="s">
        <v>458</v>
      </c>
      <c r="Z1" s="254" t="s">
        <v>521</v>
      </c>
      <c r="AA1" s="254" t="s">
        <v>566</v>
      </c>
      <c r="AB1" s="254" t="s">
        <v>567</v>
      </c>
      <c r="AC1" s="254" t="s">
        <v>568</v>
      </c>
      <c r="AD1" s="254" t="s">
        <v>569</v>
      </c>
      <c r="AE1" s="254" t="s">
        <v>570</v>
      </c>
      <c r="AF1" s="252" t="s">
        <v>466</v>
      </c>
      <c r="AG1" s="254" t="s">
        <v>521</v>
      </c>
      <c r="AH1" s="254" t="s">
        <v>566</v>
      </c>
      <c r="AI1" s="254" t="s">
        <v>567</v>
      </c>
      <c r="AJ1" s="254" t="s">
        <v>568</v>
      </c>
      <c r="AK1" s="254" t="s">
        <v>569</v>
      </c>
      <c r="AL1" s="254" t="s">
        <v>570</v>
      </c>
      <c r="AM1" s="252" t="s">
        <v>460</v>
      </c>
      <c r="AN1" s="254" t="s">
        <v>521</v>
      </c>
      <c r="AO1" s="254" t="s">
        <v>566</v>
      </c>
      <c r="AP1" s="254" t="s">
        <v>567</v>
      </c>
      <c r="AQ1" s="254" t="s">
        <v>568</v>
      </c>
      <c r="AR1" s="254" t="s">
        <v>569</v>
      </c>
      <c r="AS1" s="254" t="s">
        <v>570</v>
      </c>
      <c r="AT1" s="252" t="s">
        <v>467</v>
      </c>
      <c r="AU1" s="254" t="s">
        <v>521</v>
      </c>
      <c r="AV1" s="254" t="s">
        <v>566</v>
      </c>
      <c r="AW1" s="254" t="s">
        <v>567</v>
      </c>
      <c r="AX1" s="254" t="s">
        <v>568</v>
      </c>
      <c r="AY1" s="254" t="s">
        <v>569</v>
      </c>
      <c r="AZ1" s="254" t="s">
        <v>570</v>
      </c>
      <c r="BA1" s="252" t="s">
        <v>459</v>
      </c>
      <c r="BB1" s="254" t="s">
        <v>521</v>
      </c>
      <c r="BC1" s="254" t="s">
        <v>566</v>
      </c>
      <c r="BD1" s="254" t="s">
        <v>567</v>
      </c>
      <c r="BE1" s="254" t="s">
        <v>568</v>
      </c>
      <c r="BF1" s="254" t="s">
        <v>569</v>
      </c>
      <c r="BG1" s="254" t="s">
        <v>570</v>
      </c>
      <c r="BH1" s="252" t="s">
        <v>521</v>
      </c>
      <c r="BI1" s="254" t="s">
        <v>566</v>
      </c>
      <c r="BJ1" s="254" t="s">
        <v>567</v>
      </c>
      <c r="BK1" s="254" t="s">
        <v>568</v>
      </c>
      <c r="BL1" s="254" t="s">
        <v>569</v>
      </c>
      <c r="BM1" s="254" t="s">
        <v>570</v>
      </c>
      <c r="BN1" s="254"/>
      <c r="BO1" s="252" t="s">
        <v>468</v>
      </c>
      <c r="BP1" s="264" t="s">
        <v>566</v>
      </c>
      <c r="BQ1" s="264" t="s">
        <v>567</v>
      </c>
      <c r="BR1" s="264" t="s">
        <v>568</v>
      </c>
      <c r="BS1" s="261" t="s">
        <v>501</v>
      </c>
      <c r="BT1" s="266" t="s">
        <v>624</v>
      </c>
      <c r="BU1" s="266" t="s">
        <v>625</v>
      </c>
      <c r="BV1" s="266" t="s">
        <v>626</v>
      </c>
      <c r="BW1" s="266" t="s">
        <v>627</v>
      </c>
      <c r="BX1" s="266" t="s">
        <v>628</v>
      </c>
      <c r="BY1" s="266" t="s">
        <v>629</v>
      </c>
      <c r="BZ1" s="266" t="s">
        <v>630</v>
      </c>
      <c r="CA1" s="266" t="s">
        <v>631</v>
      </c>
      <c r="CB1" s="266" t="s">
        <v>632</v>
      </c>
      <c r="CC1" s="267" t="s">
        <v>502</v>
      </c>
      <c r="CD1" s="268" t="s">
        <v>637</v>
      </c>
      <c r="CE1" s="268" t="s">
        <v>638</v>
      </c>
      <c r="CF1" s="267" t="s">
        <v>507</v>
      </c>
      <c r="CG1" s="266" t="s">
        <v>6</v>
      </c>
      <c r="CH1" s="266" t="s">
        <v>639</v>
      </c>
      <c r="CI1" s="267" t="s">
        <v>509</v>
      </c>
      <c r="CJ1" s="247" t="s">
        <v>117</v>
      </c>
      <c r="CK1" s="247">
        <v>28368</v>
      </c>
      <c r="CL1" s="267" t="s">
        <v>512</v>
      </c>
      <c r="CM1" s="247" t="s">
        <v>117</v>
      </c>
      <c r="CN1" s="247">
        <v>15476</v>
      </c>
      <c r="CO1" s="267" t="s">
        <v>515</v>
      </c>
      <c r="CP1" s="247" t="s">
        <v>117</v>
      </c>
      <c r="CQ1" s="247">
        <v>893</v>
      </c>
      <c r="CR1" s="267" t="s">
        <v>518</v>
      </c>
      <c r="CS1" s="276" t="s">
        <v>643</v>
      </c>
      <c r="CT1" s="275" t="s">
        <v>644</v>
      </c>
      <c r="CU1" s="275" t="s">
        <v>645</v>
      </c>
      <c r="CV1" s="275" t="s">
        <v>646</v>
      </c>
      <c r="CW1" s="275" t="s">
        <v>647</v>
      </c>
      <c r="CX1" s="275" t="s">
        <v>648</v>
      </c>
      <c r="CY1" s="275" t="s">
        <v>649</v>
      </c>
      <c r="CZ1" s="275" t="s">
        <v>650</v>
      </c>
      <c r="DA1" s="275" t="s">
        <v>651</v>
      </c>
      <c r="DB1" s="275" t="s">
        <v>652</v>
      </c>
      <c r="DC1" s="275" t="s">
        <v>653</v>
      </c>
      <c r="DD1" s="275" t="s">
        <v>654</v>
      </c>
      <c r="DF1" s="356" t="s">
        <v>529</v>
      </c>
      <c r="DG1" s="347" t="s">
        <v>664</v>
      </c>
      <c r="DH1" s="347" t="s">
        <v>665</v>
      </c>
      <c r="DI1" s="356" t="s">
        <v>530</v>
      </c>
      <c r="DJ1" s="354" t="s">
        <v>664</v>
      </c>
      <c r="DK1" s="354" t="s">
        <v>665</v>
      </c>
      <c r="DL1" s="356" t="s">
        <v>531</v>
      </c>
      <c r="DM1" s="349" t="s">
        <v>664</v>
      </c>
      <c r="DN1" s="349" t="s">
        <v>665</v>
      </c>
    </row>
    <row r="2" spans="1:118" x14ac:dyDescent="0.2">
      <c r="B2" s="188">
        <v>7091788096</v>
      </c>
      <c r="C2" s="188">
        <v>465989567527.02863</v>
      </c>
      <c r="D2" s="188">
        <v>7191180</v>
      </c>
      <c r="E2" s="209"/>
      <c r="F2" s="211">
        <v>1326</v>
      </c>
      <c r="G2" s="211">
        <v>619145072</v>
      </c>
      <c r="H2" s="211">
        <v>26926198737.983624</v>
      </c>
      <c r="J2" s="152" t="str">
        <f>K2&amp;L2</f>
        <v>ABuy</v>
      </c>
      <c r="K2" s="234" t="s">
        <v>543</v>
      </c>
      <c r="L2" s="234" t="s">
        <v>544</v>
      </c>
      <c r="M2" s="238">
        <v>204894247752.2493</v>
      </c>
      <c r="O2" s="241">
        <v>84416134737.380005</v>
      </c>
      <c r="P2" s="241">
        <v>-102682688144.7</v>
      </c>
      <c r="Q2" s="241">
        <v>-18266553407.32</v>
      </c>
      <c r="S2" s="253" t="s">
        <v>571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572</v>
      </c>
      <c r="AA2" s="253">
        <v>10844296.25</v>
      </c>
      <c r="AB2" s="253">
        <v>3485</v>
      </c>
      <c r="AC2" s="253">
        <v>108</v>
      </c>
      <c r="AD2" s="253">
        <v>110480</v>
      </c>
      <c r="AE2" s="253">
        <v>0</v>
      </c>
      <c r="AF2" s="253"/>
      <c r="AG2" s="253" t="s">
        <v>572</v>
      </c>
      <c r="AH2" s="253">
        <v>361424.5</v>
      </c>
      <c r="AI2" s="253">
        <v>205</v>
      </c>
      <c r="AJ2" s="253">
        <v>5</v>
      </c>
      <c r="AK2" s="253">
        <v>1828</v>
      </c>
      <c r="AL2" s="253">
        <v>0</v>
      </c>
      <c r="AM2" s="245"/>
      <c r="AN2" s="253" t="s">
        <v>572</v>
      </c>
      <c r="AO2" s="253">
        <v>4249945.5</v>
      </c>
      <c r="AP2" s="253">
        <v>1286</v>
      </c>
      <c r="AQ2" s="253">
        <v>85</v>
      </c>
      <c r="AR2" s="253">
        <v>93711</v>
      </c>
      <c r="AS2" s="253">
        <v>0</v>
      </c>
      <c r="AT2" s="245"/>
      <c r="AU2" s="253" t="s">
        <v>572</v>
      </c>
      <c r="AV2" s="253">
        <v>0</v>
      </c>
      <c r="AW2" s="253">
        <v>0</v>
      </c>
      <c r="AX2" s="253">
        <v>0</v>
      </c>
      <c r="AY2" s="253">
        <v>4521</v>
      </c>
      <c r="AZ2" s="253">
        <v>0</v>
      </c>
      <c r="BA2" s="245"/>
      <c r="BB2" s="253" t="s">
        <v>572</v>
      </c>
      <c r="BC2" s="253">
        <v>1092036.26</v>
      </c>
      <c r="BD2" s="253">
        <v>349</v>
      </c>
      <c r="BE2" s="253">
        <v>41</v>
      </c>
      <c r="BF2" s="253">
        <v>78927</v>
      </c>
      <c r="BG2" s="253">
        <v>0</v>
      </c>
      <c r="BH2" s="247" t="s">
        <v>572</v>
      </c>
      <c r="BI2" s="253">
        <v>9500</v>
      </c>
      <c r="BJ2" s="253">
        <v>1</v>
      </c>
      <c r="BK2" s="253">
        <v>1</v>
      </c>
      <c r="BL2" s="253">
        <v>309</v>
      </c>
      <c r="BM2" s="253">
        <v>0</v>
      </c>
      <c r="BN2" s="253"/>
      <c r="BO2" s="245"/>
      <c r="BP2" s="263">
        <v>5288472593500.2178</v>
      </c>
      <c r="BQ2" s="263">
        <v>87012871</v>
      </c>
      <c r="BR2" s="263">
        <v>3319438</v>
      </c>
      <c r="BS2" s="245"/>
      <c r="BT2" s="265" t="s">
        <v>139</v>
      </c>
      <c r="BU2" s="265">
        <v>46</v>
      </c>
      <c r="BV2" s="265">
        <v>0</v>
      </c>
      <c r="BW2" s="265">
        <v>0</v>
      </c>
      <c r="BX2" s="265">
        <v>0</v>
      </c>
      <c r="BY2" s="265">
        <v>0</v>
      </c>
      <c r="BZ2" s="265">
        <v>46</v>
      </c>
      <c r="CA2" s="265">
        <v>36</v>
      </c>
      <c r="CB2" s="265">
        <v>10</v>
      </c>
      <c r="CC2" s="245"/>
      <c r="CD2" s="269">
        <v>798</v>
      </c>
      <c r="CE2" s="269">
        <v>12520971813081.26</v>
      </c>
      <c r="CF2" s="245"/>
      <c r="CG2" s="265">
        <v>2018</v>
      </c>
      <c r="CH2" s="265">
        <v>22</v>
      </c>
      <c r="CI2" s="245"/>
      <c r="CJ2" s="247" t="s">
        <v>641</v>
      </c>
      <c r="CK2" s="247">
        <v>831141224495</v>
      </c>
      <c r="CL2" s="247"/>
      <c r="CM2" s="247" t="s">
        <v>641</v>
      </c>
      <c r="CN2" s="247">
        <v>1962693925426</v>
      </c>
      <c r="CO2" s="247"/>
      <c r="CP2" s="247" t="s">
        <v>641</v>
      </c>
      <c r="CQ2" s="247">
        <v>67384831994</v>
      </c>
      <c r="CR2" s="245"/>
      <c r="CS2" s="277">
        <v>2018</v>
      </c>
      <c r="CT2" s="275">
        <v>31</v>
      </c>
      <c r="CU2" s="275" t="s">
        <v>655</v>
      </c>
      <c r="CV2" s="275">
        <v>0</v>
      </c>
      <c r="CW2" s="275">
        <v>2925718713</v>
      </c>
      <c r="CX2" s="275">
        <v>3729</v>
      </c>
      <c r="CY2" s="275">
        <v>0</v>
      </c>
      <c r="CZ2" s="275">
        <v>178438690326</v>
      </c>
      <c r="DA2" s="275">
        <v>1799</v>
      </c>
      <c r="DB2" s="275">
        <v>0</v>
      </c>
      <c r="DC2" s="275">
        <v>175512971613</v>
      </c>
      <c r="DD2" s="275">
        <v>1930</v>
      </c>
      <c r="DG2" s="348" t="s">
        <v>666</v>
      </c>
      <c r="DH2" s="346">
        <v>1648384246</v>
      </c>
      <c r="DJ2" s="352" t="s">
        <v>666</v>
      </c>
      <c r="DK2" s="350">
        <v>5231227606.8800001</v>
      </c>
      <c r="DM2" s="351" t="s">
        <v>666</v>
      </c>
      <c r="DN2" s="353">
        <v>23172200616.68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545</v>
      </c>
      <c r="L3" s="234" t="s">
        <v>544</v>
      </c>
      <c r="M3" s="238">
        <v>261095319774.7793</v>
      </c>
      <c r="N3" s="136"/>
      <c r="O3" s="239"/>
      <c r="P3" s="239"/>
      <c r="Q3" s="239"/>
      <c r="S3" s="253" t="s">
        <v>451</v>
      </c>
      <c r="T3" s="258">
        <v>85667091.299999997</v>
      </c>
      <c r="U3" s="258">
        <v>9367</v>
      </c>
      <c r="V3" s="258">
        <v>26</v>
      </c>
      <c r="W3" s="258">
        <v>258841</v>
      </c>
      <c r="X3" s="258">
        <v>0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614</v>
      </c>
      <c r="AO3" s="253">
        <v>0</v>
      </c>
      <c r="AP3" s="253">
        <v>0</v>
      </c>
      <c r="AQ3" s="253">
        <v>0</v>
      </c>
      <c r="AR3" s="253">
        <v>15400</v>
      </c>
      <c r="AS3" s="253">
        <v>0</v>
      </c>
      <c r="AT3" s="245"/>
      <c r="AU3" s="253" t="s">
        <v>614</v>
      </c>
      <c r="AV3" s="253">
        <v>0</v>
      </c>
      <c r="AW3" s="253">
        <v>0</v>
      </c>
      <c r="AX3" s="253">
        <v>0</v>
      </c>
      <c r="AY3" s="253">
        <v>700</v>
      </c>
      <c r="AZ3" s="253">
        <v>0</v>
      </c>
      <c r="BA3" s="245"/>
      <c r="BB3" s="253" t="s">
        <v>614</v>
      </c>
      <c r="BC3" s="253">
        <v>0</v>
      </c>
      <c r="BD3" s="253">
        <v>0</v>
      </c>
      <c r="BE3" s="253">
        <v>0</v>
      </c>
      <c r="BF3" s="253">
        <v>13300</v>
      </c>
      <c r="BG3" s="253">
        <v>0</v>
      </c>
      <c r="BH3" s="247" t="s">
        <v>614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633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2017</v>
      </c>
      <c r="CH3" s="265">
        <v>22</v>
      </c>
      <c r="CI3" s="245"/>
      <c r="CJ3" s="247" t="s">
        <v>642</v>
      </c>
      <c r="CK3" s="247">
        <v>837608016509.44006</v>
      </c>
      <c r="CL3" s="247"/>
      <c r="CM3" s="247" t="s">
        <v>642</v>
      </c>
      <c r="CN3" s="247">
        <v>1828839994867.8989</v>
      </c>
      <c r="CO3" s="247"/>
      <c r="CP3" s="247" t="s">
        <v>642</v>
      </c>
      <c r="CQ3" s="247">
        <v>24665110337.450001</v>
      </c>
      <c r="CR3" s="245"/>
      <c r="CS3" s="277">
        <v>2018</v>
      </c>
      <c r="CT3" s="275">
        <v>28</v>
      </c>
      <c r="CU3" s="275" t="s">
        <v>656</v>
      </c>
      <c r="CV3" s="275">
        <v>-204301429056.57986</v>
      </c>
      <c r="CW3" s="275">
        <v>-130053547350</v>
      </c>
      <c r="CX3" s="275">
        <v>7379</v>
      </c>
      <c r="CY3" s="275">
        <v>637422491094.36084</v>
      </c>
      <c r="CZ3" s="275">
        <v>682341170090</v>
      </c>
      <c r="DA3" s="275">
        <v>4248</v>
      </c>
      <c r="DB3" s="275">
        <v>841723920150.93945</v>
      </c>
      <c r="DC3" s="275">
        <v>812394717440</v>
      </c>
      <c r="DD3" s="275">
        <v>3131</v>
      </c>
      <c r="DG3" s="348" t="s">
        <v>667</v>
      </c>
      <c r="DH3" s="346">
        <v>45299999.780000001</v>
      </c>
      <c r="DJ3" s="352" t="s">
        <v>667</v>
      </c>
      <c r="DK3" s="350">
        <v>12642966219.809999</v>
      </c>
      <c r="DM3" s="351" t="s">
        <v>667</v>
      </c>
      <c r="DN3" s="353">
        <v>17779608414.860001</v>
      </c>
    </row>
    <row r="4" spans="1:118" x14ac:dyDescent="0.2">
      <c r="A4" s="148" t="s">
        <v>211</v>
      </c>
      <c r="B4" s="188" t="s">
        <v>538</v>
      </c>
      <c r="C4" s="188" t="s">
        <v>539</v>
      </c>
      <c r="D4" s="188" t="s">
        <v>540</v>
      </c>
      <c r="E4" s="209"/>
      <c r="F4" s="211" t="s">
        <v>540</v>
      </c>
      <c r="G4" s="211" t="s">
        <v>538</v>
      </c>
      <c r="H4" s="211" t="s">
        <v>539</v>
      </c>
      <c r="J4" s="152" t="str">
        <f t="shared" si="0"/>
        <v>ASell</v>
      </c>
      <c r="K4" s="234" t="s">
        <v>543</v>
      </c>
      <c r="L4" s="234" t="s">
        <v>546</v>
      </c>
      <c r="M4" s="238">
        <v>188427408912.16718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1508099345.23</v>
      </c>
      <c r="U4" s="258">
        <v>70686</v>
      </c>
      <c r="V4" s="258">
        <v>68</v>
      </c>
      <c r="W4" s="258">
        <v>150745</v>
      </c>
      <c r="X4" s="258">
        <v>1</v>
      </c>
      <c r="Y4" s="245"/>
      <c r="Z4" s="253" t="s">
        <v>574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573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573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566</v>
      </c>
      <c r="BQ4" s="264" t="s">
        <v>567</v>
      </c>
      <c r="BR4" s="264" t="s">
        <v>568</v>
      </c>
      <c r="BS4" s="245"/>
      <c r="BT4" s="265" t="s">
        <v>634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637</v>
      </c>
      <c r="CE4" s="270" t="s">
        <v>638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2018</v>
      </c>
      <c r="CT4" s="275">
        <v>28</v>
      </c>
      <c r="CU4" s="275" t="s">
        <v>657</v>
      </c>
      <c r="CV4" s="275">
        <v>195348402062.93271</v>
      </c>
      <c r="CW4" s="275">
        <v>120847560350</v>
      </c>
      <c r="CX4" s="275">
        <v>7222</v>
      </c>
      <c r="CY4" s="275">
        <v>820526535904.09033</v>
      </c>
      <c r="CZ4" s="275">
        <v>790851530440</v>
      </c>
      <c r="DA4" s="275">
        <v>3054</v>
      </c>
      <c r="DB4" s="275">
        <v>625178133841.16016</v>
      </c>
      <c r="DC4" s="275">
        <v>670003970090</v>
      </c>
      <c r="DD4" s="275">
        <v>4168</v>
      </c>
      <c r="DG4" s="348" t="s">
        <v>668</v>
      </c>
      <c r="DH4" s="346">
        <v>35542500</v>
      </c>
      <c r="DJ4" s="352" t="s">
        <v>668</v>
      </c>
      <c r="DK4" s="350">
        <v>25845393033.740002</v>
      </c>
      <c r="DM4" s="351" t="s">
        <v>668</v>
      </c>
      <c r="DN4" s="353">
        <v>10616037387.74</v>
      </c>
    </row>
    <row r="5" spans="1:118" x14ac:dyDescent="0.2">
      <c r="B5" s="188">
        <v>83852580848</v>
      </c>
      <c r="C5" s="188">
        <v>5215243955687.6465</v>
      </c>
      <c r="D5" s="194">
        <v>65209373</v>
      </c>
      <c r="E5" s="209"/>
      <c r="F5" s="211">
        <v>20980</v>
      </c>
      <c r="G5" s="211">
        <v>7938288672</v>
      </c>
      <c r="H5" s="225">
        <v>316620246346.50085</v>
      </c>
      <c r="J5" s="152" t="str">
        <f t="shared" si="0"/>
        <v>PSell</v>
      </c>
      <c r="K5" s="234" t="s">
        <v>545</v>
      </c>
      <c r="L5" s="234" t="s">
        <v>546</v>
      </c>
      <c r="M5" s="238">
        <v>277562158614.86145</v>
      </c>
      <c r="N5" s="136"/>
      <c r="O5" s="241">
        <v>1013661789236.13</v>
      </c>
      <c r="P5" s="241">
        <v>-1054371873388.14</v>
      </c>
      <c r="Q5" s="241">
        <v>-40710084152.010002</v>
      </c>
      <c r="S5" s="253" t="s">
        <v>448</v>
      </c>
      <c r="T5" s="258">
        <v>0</v>
      </c>
      <c r="U5" s="258">
        <v>0</v>
      </c>
      <c r="V5" s="258">
        <v>0</v>
      </c>
      <c r="W5" s="258">
        <v>0</v>
      </c>
      <c r="X5" s="258">
        <v>0</v>
      </c>
      <c r="Y5" s="245"/>
      <c r="Z5" s="253" t="s">
        <v>575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574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574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37892803822.050003</v>
      </c>
      <c r="BQ5" s="263">
        <v>12915210</v>
      </c>
      <c r="BR5" s="263">
        <v>11153</v>
      </c>
      <c r="BS5" s="245"/>
      <c r="BT5" s="265" t="s">
        <v>635</v>
      </c>
      <c r="BU5" s="265">
        <v>323</v>
      </c>
      <c r="BV5" s="265">
        <v>1</v>
      </c>
      <c r="BW5" s="265">
        <v>0</v>
      </c>
      <c r="BX5" s="265">
        <v>0</v>
      </c>
      <c r="BY5" s="265">
        <v>0</v>
      </c>
      <c r="BZ5" s="265">
        <v>324</v>
      </c>
      <c r="CA5" s="265">
        <v>259</v>
      </c>
      <c r="CB5" s="265">
        <v>64</v>
      </c>
      <c r="CC5" s="245"/>
      <c r="CD5" s="271">
        <v>811</v>
      </c>
      <c r="CE5" s="271">
        <v>15908872317115.9</v>
      </c>
      <c r="CF5" s="267" t="s">
        <v>508</v>
      </c>
      <c r="CG5" s="266" t="s">
        <v>6</v>
      </c>
      <c r="CH5" s="266" t="s">
        <v>639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2018</v>
      </c>
      <c r="CT5" s="275">
        <v>463</v>
      </c>
      <c r="CU5" s="275" t="s">
        <v>658</v>
      </c>
      <c r="CV5" s="275">
        <v>-55090446262.829865</v>
      </c>
      <c r="CW5" s="275">
        <v>-54698168131</v>
      </c>
      <c r="CX5" s="275">
        <v>8326</v>
      </c>
      <c r="CY5" s="275">
        <v>136326793533.36972</v>
      </c>
      <c r="CZ5" s="275">
        <v>131950905680</v>
      </c>
      <c r="DA5" s="275">
        <v>4190</v>
      </c>
      <c r="DB5" s="275">
        <v>191417239796.19974</v>
      </c>
      <c r="DC5" s="275">
        <v>186649073811</v>
      </c>
      <c r="DD5" s="275">
        <v>4136</v>
      </c>
      <c r="DG5" s="348" t="s">
        <v>669</v>
      </c>
      <c r="DH5" s="346">
        <v>25516129.34</v>
      </c>
      <c r="DJ5" s="352" t="s">
        <v>669</v>
      </c>
      <c r="DK5" s="350">
        <v>591445516.23000002</v>
      </c>
      <c r="DM5" s="351" t="s">
        <v>669</v>
      </c>
      <c r="DN5" s="353">
        <v>895512793.74000001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448</v>
      </c>
      <c r="T6" s="258">
        <v>532014</v>
      </c>
      <c r="U6" s="258">
        <v>679735</v>
      </c>
      <c r="V6" s="258">
        <v>4298</v>
      </c>
      <c r="W6" s="258">
        <v>692684</v>
      </c>
      <c r="X6" s="258">
        <v>1</v>
      </c>
      <c r="Y6" s="245"/>
      <c r="Z6" s="253" t="s">
        <v>576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575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575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636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2018</v>
      </c>
      <c r="CH6" s="265">
        <v>232</v>
      </c>
      <c r="CI6" s="267" t="s">
        <v>510</v>
      </c>
      <c r="CJ6" s="247" t="s">
        <v>117</v>
      </c>
      <c r="CK6" s="247">
        <v>287055</v>
      </c>
      <c r="CL6" s="267" t="s">
        <v>513</v>
      </c>
      <c r="CM6" s="247" t="s">
        <v>117</v>
      </c>
      <c r="CN6" s="247">
        <v>151416</v>
      </c>
      <c r="CO6" s="267" t="s">
        <v>516</v>
      </c>
      <c r="CP6" s="247" t="s">
        <v>117</v>
      </c>
      <c r="CQ6" s="247">
        <v>7996</v>
      </c>
      <c r="CR6" s="245"/>
      <c r="CS6" s="277">
        <v>2018</v>
      </c>
      <c r="CT6" s="275">
        <v>222</v>
      </c>
      <c r="CU6" s="275" t="s">
        <v>659</v>
      </c>
      <c r="CV6" s="275">
        <v>3164004604.0800376</v>
      </c>
      <c r="CW6" s="275">
        <v>4572249082</v>
      </c>
      <c r="CX6" s="275">
        <v>28795</v>
      </c>
      <c r="CY6" s="275">
        <v>975185788615.41003</v>
      </c>
      <c r="CZ6" s="275">
        <v>944180053275</v>
      </c>
      <c r="DA6" s="275">
        <v>14698</v>
      </c>
      <c r="DB6" s="275">
        <v>972021784011.33044</v>
      </c>
      <c r="DC6" s="275">
        <v>939607804193</v>
      </c>
      <c r="DD6" s="275">
        <v>14097</v>
      </c>
      <c r="DG6" s="348" t="s">
        <v>670</v>
      </c>
      <c r="DH6" s="346">
        <v>266069977.00999999</v>
      </c>
      <c r="DJ6" s="352" t="s">
        <v>670</v>
      </c>
      <c r="DK6" s="350">
        <v>5522859842.7700005</v>
      </c>
      <c r="DM6" s="351" t="s">
        <v>670</v>
      </c>
      <c r="DN6" s="353">
        <v>7773623581.1199999</v>
      </c>
    </row>
    <row r="7" spans="1:118" x14ac:dyDescent="0.2">
      <c r="A7" s="148" t="s">
        <v>212</v>
      </c>
      <c r="B7" s="188" t="s">
        <v>538</v>
      </c>
      <c r="C7" s="188" t="s">
        <v>539</v>
      </c>
      <c r="D7" s="188" t="s">
        <v>540</v>
      </c>
      <c r="E7" s="209"/>
      <c r="F7" s="211" t="s">
        <v>540</v>
      </c>
      <c r="G7" s="211" t="s">
        <v>538</v>
      </c>
      <c r="H7" s="211" t="s">
        <v>539</v>
      </c>
      <c r="I7" s="153" t="s">
        <v>219</v>
      </c>
      <c r="J7" s="148" t="s">
        <v>220</v>
      </c>
      <c r="K7" s="235" t="s">
        <v>541</v>
      </c>
      <c r="L7" s="235" t="s">
        <v>542</v>
      </c>
      <c r="M7" s="237" t="s">
        <v>539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182</v>
      </c>
      <c r="T7" s="258">
        <v>51400978.174999997</v>
      </c>
      <c r="U7" s="258">
        <v>1851127</v>
      </c>
      <c r="V7" s="258">
        <v>142</v>
      </c>
      <c r="W7" s="258">
        <v>2740699</v>
      </c>
      <c r="X7" s="258">
        <v>1</v>
      </c>
      <c r="Y7" s="245"/>
      <c r="Z7" s="253" t="s">
        <v>577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576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576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566</v>
      </c>
      <c r="BQ7" s="264" t="s">
        <v>567</v>
      </c>
      <c r="BR7" s="264" t="s">
        <v>568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2017</v>
      </c>
      <c r="CH7" s="265">
        <v>230</v>
      </c>
      <c r="CI7" s="245"/>
      <c r="CJ7" s="247" t="s">
        <v>641</v>
      </c>
      <c r="CK7" s="247">
        <v>8792284975075</v>
      </c>
      <c r="CL7" s="247"/>
      <c r="CM7" s="247" t="s">
        <v>641</v>
      </c>
      <c r="CN7" s="247">
        <v>19555759057320</v>
      </c>
      <c r="CO7" s="247"/>
      <c r="CP7" s="247" t="s">
        <v>641</v>
      </c>
      <c r="CQ7" s="247">
        <v>590119853518</v>
      </c>
      <c r="CR7" s="245"/>
      <c r="CS7" s="277">
        <v>2018</v>
      </c>
      <c r="CT7" s="275">
        <v>26</v>
      </c>
      <c r="CU7" s="275" t="s">
        <v>660</v>
      </c>
      <c r="CV7" s="275">
        <v>-23104503659.689999</v>
      </c>
      <c r="CW7" s="275">
        <v>-21531953499</v>
      </c>
      <c r="CX7" s="275">
        <v>568</v>
      </c>
      <c r="CY7" s="275">
        <v>17165318798.639997</v>
      </c>
      <c r="CZ7" s="275">
        <v>16265354980</v>
      </c>
      <c r="DA7" s="275">
        <v>188</v>
      </c>
      <c r="DB7" s="275">
        <v>40269822458.33004</v>
      </c>
      <c r="DC7" s="275">
        <v>37797308479</v>
      </c>
      <c r="DD7" s="275">
        <v>380</v>
      </c>
      <c r="DG7" s="10" t="s">
        <v>671</v>
      </c>
      <c r="DH7" s="376">
        <v>125000002.5</v>
      </c>
      <c r="DJ7" s="10" t="s">
        <v>671</v>
      </c>
      <c r="DK7" s="376">
        <v>4297384549.1599998</v>
      </c>
      <c r="DM7" s="10" t="s">
        <v>671</v>
      </c>
      <c r="DN7" s="376">
        <v>31588284984.630001</v>
      </c>
    </row>
    <row r="8" spans="1:118" x14ac:dyDescent="0.2">
      <c r="B8" s="188">
        <v>75336883144</v>
      </c>
      <c r="C8" s="188">
        <v>4904835679311.9277</v>
      </c>
      <c r="D8" s="194">
        <v>62126590</v>
      </c>
      <c r="E8" s="209"/>
      <c r="F8" s="211">
        <v>32973</v>
      </c>
      <c r="G8" s="211">
        <v>7866637461</v>
      </c>
      <c r="H8" s="225">
        <v>357440522855.05707</v>
      </c>
      <c r="J8" s="152" t="str">
        <f>K8&amp;L8</f>
        <v>ABuy</v>
      </c>
      <c r="K8" s="234" t="s">
        <v>543</v>
      </c>
      <c r="L8" s="234" t="s">
        <v>544</v>
      </c>
      <c r="M8" s="238">
        <v>230238020312.45709</v>
      </c>
      <c r="O8" s="244">
        <v>863411837848.81995</v>
      </c>
      <c r="P8" s="244">
        <v>-941576897088.81006</v>
      </c>
      <c r="Q8" s="241">
        <v>-78165059239.990005</v>
      </c>
      <c r="S8" s="253" t="s">
        <v>446</v>
      </c>
      <c r="T8" s="258">
        <v>2175315826.4400001</v>
      </c>
      <c r="U8" s="258">
        <v>305566</v>
      </c>
      <c r="V8" s="258">
        <v>424</v>
      </c>
      <c r="W8" s="258">
        <v>998106</v>
      </c>
      <c r="X8" s="258">
        <v>0</v>
      </c>
      <c r="Y8" s="245"/>
      <c r="Z8" s="253" t="s">
        <v>578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577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577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5281603442304.0303</v>
      </c>
      <c r="BQ8" s="263">
        <v>252686017</v>
      </c>
      <c r="BR8" s="263">
        <v>2932391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638</v>
      </c>
      <c r="CE8" s="266" t="s">
        <v>640</v>
      </c>
      <c r="CF8" s="245"/>
      <c r="CG8" s="245"/>
      <c r="CH8" s="245"/>
      <c r="CI8" s="245"/>
      <c r="CJ8" s="247" t="s">
        <v>642</v>
      </c>
      <c r="CK8" s="247">
        <v>9062666859219.9922</v>
      </c>
      <c r="CL8" s="247"/>
      <c r="CM8" s="247" t="s">
        <v>642</v>
      </c>
      <c r="CN8" s="247">
        <v>19017257952637.965</v>
      </c>
      <c r="CO8" s="247"/>
      <c r="CP8" s="247" t="s">
        <v>642</v>
      </c>
      <c r="CQ8" s="247">
        <v>193171111785.52002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545</v>
      </c>
      <c r="L9" s="234" t="s">
        <v>544</v>
      </c>
      <c r="M9" s="238">
        <v>251263694755.23767</v>
      </c>
      <c r="N9" s="19"/>
      <c r="O9" s="239"/>
      <c r="P9" s="239"/>
      <c r="Q9" s="239"/>
      <c r="S9" s="253" t="s">
        <v>446</v>
      </c>
      <c r="T9" s="258">
        <v>318771588556.94238</v>
      </c>
      <c r="U9" s="258">
        <v>1013902</v>
      </c>
      <c r="V9" s="258">
        <v>328017</v>
      </c>
      <c r="W9" s="258">
        <v>607786</v>
      </c>
      <c r="X9" s="258">
        <v>1</v>
      </c>
      <c r="Y9" s="245"/>
      <c r="Z9" s="253" t="s">
        <v>579</v>
      </c>
      <c r="AA9" s="253">
        <v>26720</v>
      </c>
      <c r="AB9" s="253">
        <v>3</v>
      </c>
      <c r="AC9" s="253">
        <v>3</v>
      </c>
      <c r="AD9" s="253">
        <v>1366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0</v>
      </c>
      <c r="AL9" s="253">
        <v>0</v>
      </c>
      <c r="AM9" s="245"/>
      <c r="AN9" s="253" t="s">
        <v>578</v>
      </c>
      <c r="AO9" s="253">
        <v>0</v>
      </c>
      <c r="AP9" s="253">
        <v>0</v>
      </c>
      <c r="AQ9" s="253">
        <v>0</v>
      </c>
      <c r="AR9" s="253">
        <v>0</v>
      </c>
      <c r="AS9" s="253">
        <v>0</v>
      </c>
      <c r="AT9" s="245"/>
      <c r="AU9" s="253" t="s">
        <v>578</v>
      </c>
      <c r="AV9" s="253">
        <v>0</v>
      </c>
      <c r="AW9" s="253">
        <v>0</v>
      </c>
      <c r="AX9" s="253">
        <v>0</v>
      </c>
      <c r="AY9" s="253">
        <v>0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624</v>
      </c>
      <c r="BU9" s="266" t="s">
        <v>625</v>
      </c>
      <c r="BV9" s="266" t="s">
        <v>626</v>
      </c>
      <c r="BW9" s="266" t="s">
        <v>627</v>
      </c>
      <c r="BX9" s="266" t="s">
        <v>628</v>
      </c>
      <c r="BY9" s="266" t="s">
        <v>629</v>
      </c>
      <c r="BZ9" s="266" t="s">
        <v>630</v>
      </c>
      <c r="CA9" s="266" t="s">
        <v>631</v>
      </c>
      <c r="CB9" s="266" t="s">
        <v>632</v>
      </c>
      <c r="CC9" s="245"/>
      <c r="CD9" s="269">
        <v>282347178362691.12</v>
      </c>
      <c r="CE9" s="272">
        <v>462213151204.32153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543</v>
      </c>
      <c r="L10" s="234" t="s">
        <v>546</v>
      </c>
      <c r="M10" s="238">
        <v>241865750260.38068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449</v>
      </c>
      <c r="T10" s="258">
        <v>0</v>
      </c>
      <c r="U10" s="258">
        <v>0</v>
      </c>
      <c r="V10" s="258">
        <v>0</v>
      </c>
      <c r="W10" s="258">
        <v>0</v>
      </c>
      <c r="X10" s="258">
        <v>0</v>
      </c>
      <c r="Y10" s="245"/>
      <c r="Z10" s="253" t="s">
        <v>580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579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579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579</v>
      </c>
      <c r="BC10" s="253">
        <v>1515081.4</v>
      </c>
      <c r="BD10" s="253">
        <v>220</v>
      </c>
      <c r="BE10" s="253">
        <v>3</v>
      </c>
      <c r="BF10" s="253">
        <v>4180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220</v>
      </c>
      <c r="BM10" s="253">
        <v>0</v>
      </c>
      <c r="BN10" s="253"/>
      <c r="BO10" s="252" t="s">
        <v>472</v>
      </c>
      <c r="BP10" s="264" t="s">
        <v>566</v>
      </c>
      <c r="BQ10" s="264" t="s">
        <v>567</v>
      </c>
      <c r="BR10" s="264" t="s">
        <v>568</v>
      </c>
      <c r="BS10" s="245"/>
      <c r="BT10" s="265" t="s">
        <v>139</v>
      </c>
      <c r="BU10" s="265">
        <v>46</v>
      </c>
      <c r="BV10" s="265">
        <v>1</v>
      </c>
      <c r="BW10" s="265">
        <v>8</v>
      </c>
      <c r="BX10" s="265">
        <v>0</v>
      </c>
      <c r="BY10" s="265">
        <v>0</v>
      </c>
      <c r="BZ10" s="265">
        <v>39</v>
      </c>
      <c r="CA10" s="265">
        <v>36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545</v>
      </c>
      <c r="L11" s="234" t="s">
        <v>546</v>
      </c>
      <c r="M11" s="238">
        <v>239635964807.31409</v>
      </c>
      <c r="N11" s="156"/>
      <c r="O11" s="344">
        <v>969468452821</v>
      </c>
      <c r="P11" s="344">
        <v>-970485061219</v>
      </c>
      <c r="Q11" s="344">
        <v>-1016608398</v>
      </c>
      <c r="S11" s="253" t="s">
        <v>449</v>
      </c>
      <c r="T11" s="258">
        <v>124644393.536</v>
      </c>
      <c r="U11" s="258">
        <v>249601</v>
      </c>
      <c r="V11" s="258">
        <v>72</v>
      </c>
      <c r="W11" s="258">
        <v>1546008</v>
      </c>
      <c r="X11" s="258">
        <v>1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580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580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38629274677.309998</v>
      </c>
      <c r="BQ11" s="263">
        <v>17181228</v>
      </c>
      <c r="BR11" s="263">
        <v>22581</v>
      </c>
      <c r="BS11" s="245"/>
      <c r="BT11" s="265" t="s">
        <v>633</v>
      </c>
      <c r="BU11" s="265">
        <v>1</v>
      </c>
      <c r="BV11" s="265">
        <v>0</v>
      </c>
      <c r="BW11" s="265">
        <v>1</v>
      </c>
      <c r="BX11" s="265">
        <v>0</v>
      </c>
      <c r="BY11" s="265">
        <v>0</v>
      </c>
      <c r="BZ11" s="265">
        <v>0</v>
      </c>
      <c r="CA11" s="265">
        <v>1</v>
      </c>
      <c r="CB11" s="265">
        <v>0</v>
      </c>
      <c r="CC11" s="267" t="s">
        <v>505</v>
      </c>
      <c r="CD11" s="266" t="s">
        <v>638</v>
      </c>
      <c r="CE11" s="266" t="s">
        <v>640</v>
      </c>
      <c r="CF11" s="245"/>
      <c r="CG11" s="245"/>
      <c r="CH11" s="245"/>
      <c r="CI11" s="267" t="s">
        <v>511</v>
      </c>
      <c r="CJ11" s="247" t="s">
        <v>117</v>
      </c>
      <c r="CK11" s="247">
        <v>274176</v>
      </c>
      <c r="CL11" s="267" t="s">
        <v>514</v>
      </c>
      <c r="CM11" s="247" t="s">
        <v>117</v>
      </c>
      <c r="CN11" s="247">
        <v>146305</v>
      </c>
      <c r="CO11" s="267" t="s">
        <v>517</v>
      </c>
      <c r="CP11" s="247" t="s">
        <v>117</v>
      </c>
      <c r="CQ11" s="247">
        <v>8190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450</v>
      </c>
      <c r="T12" s="258">
        <v>0</v>
      </c>
      <c r="U12" s="258">
        <v>235361</v>
      </c>
      <c r="V12" s="258">
        <v>73</v>
      </c>
      <c r="W12" s="258">
        <v>1460725</v>
      </c>
      <c r="X12" s="258">
        <v>1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581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581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634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3315569569064141.5</v>
      </c>
      <c r="CE12" s="272">
        <v>5152449585045.9678</v>
      </c>
      <c r="CF12" s="245"/>
      <c r="CG12" s="245"/>
      <c r="CH12" s="245"/>
      <c r="CI12" s="247"/>
      <c r="CJ12" s="247" t="s">
        <v>641</v>
      </c>
      <c r="CK12" s="247">
        <v>7385007161716</v>
      </c>
      <c r="CL12" s="247"/>
      <c r="CM12" s="247" t="s">
        <v>641</v>
      </c>
      <c r="CN12" s="247">
        <v>18029159295436</v>
      </c>
      <c r="CO12" s="247"/>
      <c r="CP12" s="247" t="s">
        <v>641</v>
      </c>
      <c r="CQ12" s="247">
        <v>695645125118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541</v>
      </c>
      <c r="L13" s="235" t="s">
        <v>542</v>
      </c>
      <c r="M13" s="237" t="s">
        <v>539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 t="s">
        <v>447</v>
      </c>
      <c r="T13" s="258">
        <v>1185363149.9100001</v>
      </c>
      <c r="U13" s="258">
        <v>430735</v>
      </c>
      <c r="V13" s="258">
        <v>304</v>
      </c>
      <c r="W13" s="258">
        <v>1889143</v>
      </c>
      <c r="X13" s="258">
        <v>0</v>
      </c>
      <c r="Y13" s="245"/>
      <c r="Z13" s="253" t="s">
        <v>583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582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582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569</v>
      </c>
      <c r="BQ13" s="263"/>
      <c r="BR13" s="263"/>
      <c r="BS13" s="245"/>
      <c r="BT13" s="265" t="s">
        <v>635</v>
      </c>
      <c r="BU13" s="265">
        <v>323</v>
      </c>
      <c r="BV13" s="265">
        <v>11</v>
      </c>
      <c r="BW13" s="265">
        <v>8</v>
      </c>
      <c r="BX13" s="265">
        <v>0</v>
      </c>
      <c r="BY13" s="265">
        <v>0</v>
      </c>
      <c r="BZ13" s="265">
        <v>326</v>
      </c>
      <c r="CA13" s="265">
        <v>259</v>
      </c>
      <c r="CB13" s="265">
        <v>64</v>
      </c>
      <c r="CC13" s="245"/>
      <c r="CD13" s="245"/>
      <c r="CE13" s="245"/>
      <c r="CF13" s="245"/>
      <c r="CG13" s="245"/>
      <c r="CH13" s="245"/>
      <c r="CI13" s="247"/>
      <c r="CJ13" s="247" t="s">
        <v>642</v>
      </c>
      <c r="CK13" s="247">
        <v>7700091544950.5</v>
      </c>
      <c r="CL13" s="247"/>
      <c r="CM13" s="247" t="s">
        <v>642</v>
      </c>
      <c r="CN13" s="247">
        <v>17544173114478.152</v>
      </c>
      <c r="CO13" s="247"/>
      <c r="CP13" s="247" t="s">
        <v>642</v>
      </c>
      <c r="CQ13" s="247">
        <v>290287341193.59003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543</v>
      </c>
      <c r="L14" s="234" t="s">
        <v>544</v>
      </c>
      <c r="M14" s="238">
        <v>186282627960.89502</v>
      </c>
      <c r="N14" s="156"/>
      <c r="O14" s="344">
        <v>784579000000</v>
      </c>
      <c r="P14" s="344">
        <v>-771216000000</v>
      </c>
      <c r="Q14" s="344">
        <v>13363000000</v>
      </c>
      <c r="S14" s="245" t="s">
        <v>447</v>
      </c>
      <c r="T14" s="245">
        <v>5553214644.8999996</v>
      </c>
      <c r="U14" s="245">
        <v>617448</v>
      </c>
      <c r="V14" s="245">
        <v>4414</v>
      </c>
      <c r="W14" s="245">
        <v>1009986</v>
      </c>
      <c r="X14" s="245">
        <v>1</v>
      </c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583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583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25396650</v>
      </c>
      <c r="BQ14" s="263"/>
      <c r="BR14" s="263"/>
      <c r="BS14" s="245"/>
      <c r="BT14" s="265" t="s">
        <v>636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638</v>
      </c>
      <c r="CE14" s="273" t="s">
        <v>640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661</v>
      </c>
      <c r="CT14" s="275" t="s">
        <v>644</v>
      </c>
      <c r="CU14" s="275" t="s">
        <v>645</v>
      </c>
      <c r="CV14" s="275" t="s">
        <v>646</v>
      </c>
      <c r="CW14" s="275" t="s">
        <v>647</v>
      </c>
      <c r="CX14" s="275" t="s">
        <v>648</v>
      </c>
      <c r="CY14" s="275" t="s">
        <v>649</v>
      </c>
      <c r="CZ14" s="275" t="s">
        <v>650</v>
      </c>
      <c r="DA14" s="275" t="s">
        <v>651</v>
      </c>
      <c r="DB14" s="275" t="s">
        <v>652</v>
      </c>
      <c r="DC14" s="275" t="s">
        <v>653</v>
      </c>
      <c r="DD14" s="275" t="s">
        <v>654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545</v>
      </c>
      <c r="L15" s="234" t="s">
        <v>544</v>
      </c>
      <c r="M15" s="238">
        <v>252780740828.15002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615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615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615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615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3296485383977024.5</v>
      </c>
      <c r="CE15" s="274">
        <v>4830904301078.5869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662</v>
      </c>
      <c r="CT15" s="275">
        <v>15</v>
      </c>
      <c r="CU15" s="275" t="s">
        <v>655</v>
      </c>
      <c r="CV15" s="275">
        <v>0</v>
      </c>
      <c r="CW15" s="275">
        <v>540586282</v>
      </c>
      <c r="CX15" s="275">
        <v>331</v>
      </c>
      <c r="CY15" s="275">
        <v>0</v>
      </c>
      <c r="CZ15" s="275">
        <v>18205878476</v>
      </c>
      <c r="DA15" s="275">
        <v>168</v>
      </c>
      <c r="DB15" s="275">
        <v>0</v>
      </c>
      <c r="DC15" s="275">
        <v>17665292194</v>
      </c>
      <c r="DD15" s="275">
        <v>163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543</v>
      </c>
      <c r="L16" s="234" t="s">
        <v>546</v>
      </c>
      <c r="M16" s="238">
        <v>178637483743.48999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584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584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584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584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569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662</v>
      </c>
      <c r="CT16" s="275">
        <v>21</v>
      </c>
      <c r="CU16" s="275" t="s">
        <v>656</v>
      </c>
      <c r="CV16" s="275">
        <v>94807727855.780029</v>
      </c>
      <c r="CW16" s="275">
        <v>100986490000</v>
      </c>
      <c r="CX16" s="275">
        <v>508</v>
      </c>
      <c r="CY16" s="275">
        <v>104896894751.72</v>
      </c>
      <c r="CZ16" s="275">
        <v>112730500000</v>
      </c>
      <c r="DA16" s="275">
        <v>454</v>
      </c>
      <c r="DB16" s="275">
        <v>10089166895.939999</v>
      </c>
      <c r="DC16" s="275">
        <v>11744010000</v>
      </c>
      <c r="DD16" s="275">
        <v>54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545</v>
      </c>
      <c r="L17" s="234" t="s">
        <v>546</v>
      </c>
      <c r="M17" s="238">
        <v>260425885045.55502</v>
      </c>
      <c r="N17" s="156"/>
      <c r="O17" s="344">
        <v>645668000000</v>
      </c>
      <c r="P17" s="344">
        <v>-645833000000</v>
      </c>
      <c r="Q17" s="344">
        <v>-165000000</v>
      </c>
      <c r="R17" s="153" t="s">
        <v>453</v>
      </c>
      <c r="S17" s="253" t="s">
        <v>565</v>
      </c>
      <c r="T17" s="258" t="s">
        <v>566</v>
      </c>
      <c r="U17" s="258" t="s">
        <v>567</v>
      </c>
      <c r="V17" s="258" t="s">
        <v>568</v>
      </c>
      <c r="W17" s="258" t="s">
        <v>569</v>
      </c>
      <c r="X17" s="258" t="s">
        <v>570</v>
      </c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585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585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585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585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4059362</v>
      </c>
      <c r="BQ17" s="263"/>
      <c r="BR17" s="263"/>
      <c r="BS17" s="256" t="s">
        <v>500</v>
      </c>
      <c r="BT17" s="266" t="s">
        <v>624</v>
      </c>
      <c r="BU17" s="266" t="s">
        <v>625</v>
      </c>
      <c r="BV17" s="266" t="s">
        <v>626</v>
      </c>
      <c r="BW17" s="266" t="s">
        <v>627</v>
      </c>
      <c r="BX17" s="266" t="s">
        <v>628</v>
      </c>
      <c r="BY17" s="266" t="s">
        <v>629</v>
      </c>
      <c r="BZ17" s="266" t="s">
        <v>630</v>
      </c>
      <c r="CA17" s="266" t="s">
        <v>631</v>
      </c>
      <c r="CB17" s="266" t="s">
        <v>632</v>
      </c>
      <c r="CC17" s="358" t="s">
        <v>528</v>
      </c>
      <c r="CD17" s="357" t="s">
        <v>638</v>
      </c>
      <c r="CE17" s="357" t="s">
        <v>640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662</v>
      </c>
      <c r="CT17" s="275">
        <v>21</v>
      </c>
      <c r="CU17" s="275" t="s">
        <v>657</v>
      </c>
      <c r="CV17" s="275">
        <v>-94460610960.789917</v>
      </c>
      <c r="CW17" s="275">
        <v>-100559990000</v>
      </c>
      <c r="CX17" s="275">
        <v>496</v>
      </c>
      <c r="CY17" s="275">
        <v>9892900757.8799973</v>
      </c>
      <c r="CZ17" s="275">
        <v>11544010000</v>
      </c>
      <c r="DA17" s="275">
        <v>52</v>
      </c>
      <c r="DB17" s="275">
        <v>104353511718.66997</v>
      </c>
      <c r="DC17" s="275">
        <v>112104000000</v>
      </c>
      <c r="DD17" s="275">
        <v>444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 t="s">
        <v>451</v>
      </c>
      <c r="T18" s="258">
        <v>2891010</v>
      </c>
      <c r="U18" s="258">
        <v>435</v>
      </c>
      <c r="V18" s="258">
        <v>1</v>
      </c>
      <c r="W18" s="258">
        <v>258841</v>
      </c>
      <c r="X18" s="258">
        <v>0</v>
      </c>
      <c r="Y18" s="245"/>
      <c r="Z18" s="253" t="s">
        <v>588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586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586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586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586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51</v>
      </c>
      <c r="BV18" s="265">
        <v>6</v>
      </c>
      <c r="BW18" s="265">
        <v>12</v>
      </c>
      <c r="BX18" s="265">
        <v>4</v>
      </c>
      <c r="BY18" s="265">
        <v>0</v>
      </c>
      <c r="BZ18" s="265">
        <v>41</v>
      </c>
      <c r="CA18" s="265">
        <v>39</v>
      </c>
      <c r="CB18" s="265">
        <v>12</v>
      </c>
      <c r="CC18" s="355"/>
      <c r="CD18" s="359">
        <v>12347495452038.99</v>
      </c>
      <c r="CE18" s="360">
        <v>25390761654.170979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662</v>
      </c>
      <c r="CT18" s="275">
        <v>121</v>
      </c>
      <c r="CU18" s="275" t="s">
        <v>658</v>
      </c>
      <c r="CV18" s="275">
        <v>-7934572598.5599937</v>
      </c>
      <c r="CW18" s="275">
        <v>-7863368743</v>
      </c>
      <c r="CX18" s="275">
        <v>605</v>
      </c>
      <c r="CY18" s="275">
        <v>5472428897.1300011</v>
      </c>
      <c r="CZ18" s="275">
        <v>5234610655</v>
      </c>
      <c r="DA18" s="275">
        <v>255</v>
      </c>
      <c r="DB18" s="275">
        <v>13407001495.689995</v>
      </c>
      <c r="DC18" s="275">
        <v>13097979398</v>
      </c>
      <c r="DD18" s="275">
        <v>350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541</v>
      </c>
      <c r="L19" s="235" t="s">
        <v>542</v>
      </c>
      <c r="M19" s="237" t="s">
        <v>539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 t="s">
        <v>448</v>
      </c>
      <c r="T19" s="258">
        <v>0</v>
      </c>
      <c r="U19" s="258">
        <v>0</v>
      </c>
      <c r="V19" s="258">
        <v>0</v>
      </c>
      <c r="W19" s="258">
        <v>0</v>
      </c>
      <c r="X19" s="258">
        <v>0</v>
      </c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587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587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587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587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539</v>
      </c>
      <c r="BQ19" s="264" t="s">
        <v>567</v>
      </c>
      <c r="BR19" s="264" t="s">
        <v>568</v>
      </c>
      <c r="BS19" s="245"/>
      <c r="BT19" s="265" t="s">
        <v>633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662</v>
      </c>
      <c r="CT19" s="275">
        <v>64</v>
      </c>
      <c r="CU19" s="275" t="s">
        <v>659</v>
      </c>
      <c r="CV19" s="275">
        <v>11834445025.720007</v>
      </c>
      <c r="CW19" s="275">
        <v>11381885583</v>
      </c>
      <c r="CX19" s="275">
        <v>2302</v>
      </c>
      <c r="CY19" s="275">
        <v>88606891967.550034</v>
      </c>
      <c r="CZ19" s="275">
        <v>87129609070</v>
      </c>
      <c r="DA19" s="275">
        <v>1216</v>
      </c>
      <c r="DB19" s="275">
        <v>76772446941.829971</v>
      </c>
      <c r="DC19" s="275">
        <v>75747723487</v>
      </c>
      <c r="DD19" s="275">
        <v>1086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543</v>
      </c>
      <c r="L20" s="234" t="s">
        <v>544</v>
      </c>
      <c r="M20" s="238">
        <v>199542424262.17999</v>
      </c>
      <c r="N20" s="156"/>
      <c r="O20" s="344">
        <v>525050000000</v>
      </c>
      <c r="P20" s="344">
        <v>-528401000000</v>
      </c>
      <c r="Q20" s="344">
        <v>-3351000000</v>
      </c>
      <c r="S20" s="253" t="s">
        <v>446</v>
      </c>
      <c r="T20" s="258">
        <v>0</v>
      </c>
      <c r="U20" s="258">
        <v>0</v>
      </c>
      <c r="V20" s="258">
        <v>0</v>
      </c>
      <c r="W20" s="258">
        <v>998106</v>
      </c>
      <c r="X20" s="258">
        <v>0</v>
      </c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588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588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588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588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57172761778.290001</v>
      </c>
      <c r="BQ20" s="263">
        <v>614867</v>
      </c>
      <c r="BR20" s="263">
        <v>578</v>
      </c>
      <c r="BS20" s="245"/>
      <c r="BT20" s="265" t="s">
        <v>634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8" t="s">
        <v>527</v>
      </c>
      <c r="CD20" s="357" t="s">
        <v>638</v>
      </c>
      <c r="CE20" s="357" t="s">
        <v>640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662</v>
      </c>
      <c r="CT20" s="275">
        <v>9</v>
      </c>
      <c r="CU20" s="275" t="s">
        <v>660</v>
      </c>
      <c r="CV20" s="275">
        <v>-1165199035.7899997</v>
      </c>
      <c r="CW20" s="275">
        <v>-1138850952</v>
      </c>
      <c r="CX20" s="275">
        <v>46</v>
      </c>
      <c r="CY20" s="275">
        <v>1177031921.4400001</v>
      </c>
      <c r="CZ20" s="275">
        <v>1173200000</v>
      </c>
      <c r="DA20" s="275">
        <v>14</v>
      </c>
      <c r="DB20" s="275">
        <v>2342230957.23</v>
      </c>
      <c r="DC20" s="275">
        <v>2312050952</v>
      </c>
      <c r="DD20" s="275">
        <v>32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545</v>
      </c>
      <c r="L21" s="234" t="s">
        <v>544</v>
      </c>
      <c r="M21" s="238">
        <v>226676858585.24997</v>
      </c>
      <c r="O21" s="239"/>
      <c r="P21" s="239"/>
      <c r="Q21" s="239"/>
      <c r="S21" s="253" t="s">
        <v>449</v>
      </c>
      <c r="T21" s="258">
        <v>0</v>
      </c>
      <c r="U21" s="258">
        <v>0</v>
      </c>
      <c r="V21" s="258">
        <v>0</v>
      </c>
      <c r="W21" s="258">
        <v>0</v>
      </c>
      <c r="X21" s="258">
        <v>0</v>
      </c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589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589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589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589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635</v>
      </c>
      <c r="BU21" s="265">
        <v>319</v>
      </c>
      <c r="BV21" s="265">
        <v>12</v>
      </c>
      <c r="BW21" s="265">
        <v>22</v>
      </c>
      <c r="BX21" s="265">
        <v>0</v>
      </c>
      <c r="BY21" s="265">
        <v>4</v>
      </c>
      <c r="BZ21" s="265">
        <v>313</v>
      </c>
      <c r="CA21" s="265">
        <v>257</v>
      </c>
      <c r="CB21" s="265">
        <v>62</v>
      </c>
      <c r="CC21" s="355"/>
      <c r="CD21" s="359">
        <v>3621925605556413</v>
      </c>
      <c r="CE21" s="360">
        <v>5765182460568.9502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543</v>
      </c>
      <c r="L22" s="234" t="s">
        <v>546</v>
      </c>
      <c r="M22" s="238">
        <v>209145386696.16998</v>
      </c>
      <c r="O22" s="239"/>
      <c r="P22" s="239"/>
      <c r="Q22" s="239"/>
      <c r="S22" s="253" t="s">
        <v>447</v>
      </c>
      <c r="T22" s="258">
        <v>10992523.880000001</v>
      </c>
      <c r="U22" s="258">
        <v>11076</v>
      </c>
      <c r="V22" s="258">
        <v>3</v>
      </c>
      <c r="W22" s="258">
        <v>1889143</v>
      </c>
      <c r="X22" s="258">
        <v>0</v>
      </c>
      <c r="Y22" s="245"/>
      <c r="Z22" s="253" t="s">
        <v>592</v>
      </c>
      <c r="AA22" s="253">
        <v>2400</v>
      </c>
      <c r="AB22" s="253">
        <v>10</v>
      </c>
      <c r="AC22" s="253">
        <v>1</v>
      </c>
      <c r="AD22" s="253">
        <v>900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50</v>
      </c>
      <c r="AL22" s="253">
        <v>0</v>
      </c>
      <c r="AM22" s="245"/>
      <c r="AN22" s="253" t="s">
        <v>590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590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590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590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539</v>
      </c>
      <c r="BQ22" s="264" t="s">
        <v>567</v>
      </c>
      <c r="BR22" s="264" t="s">
        <v>568</v>
      </c>
      <c r="BS22" s="245"/>
      <c r="BT22" s="245" t="s">
        <v>636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556</v>
      </c>
      <c r="F23" s="227" t="s">
        <v>444</v>
      </c>
      <c r="G23" s="224" t="s">
        <v>226</v>
      </c>
      <c r="H23" s="224" t="s">
        <v>547</v>
      </c>
      <c r="I23" s="165"/>
      <c r="J23" s="152" t="str">
        <f>K23&amp;L23</f>
        <v>PSell</v>
      </c>
      <c r="K23" s="234" t="s">
        <v>545</v>
      </c>
      <c r="L23" s="234" t="s">
        <v>546</v>
      </c>
      <c r="M23" s="238">
        <v>217073896151.26001</v>
      </c>
      <c r="N23" s="163" t="s">
        <v>445</v>
      </c>
      <c r="O23" s="242" t="s">
        <v>226</v>
      </c>
      <c r="P23" s="242" t="s">
        <v>547</v>
      </c>
      <c r="Q23" s="239"/>
      <c r="S23" s="253" t="s">
        <v>571</v>
      </c>
      <c r="T23" s="258">
        <v>0</v>
      </c>
      <c r="U23" s="258">
        <v>0</v>
      </c>
      <c r="V23" s="258">
        <v>0</v>
      </c>
      <c r="W23" s="258">
        <v>0</v>
      </c>
      <c r="X23" s="258">
        <v>1</v>
      </c>
      <c r="Y23" s="245"/>
      <c r="Z23" s="253" t="s">
        <v>593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591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591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591</v>
      </c>
      <c r="BC23" s="253">
        <v>0</v>
      </c>
      <c r="BD23" s="253">
        <v>0</v>
      </c>
      <c r="BE23" s="253">
        <v>0</v>
      </c>
      <c r="BF23" s="253">
        <v>0</v>
      </c>
      <c r="BG23" s="253">
        <v>0</v>
      </c>
      <c r="BH23" s="247" t="s">
        <v>591</v>
      </c>
      <c r="BI23" s="253">
        <v>0</v>
      </c>
      <c r="BJ23" s="253">
        <v>0</v>
      </c>
      <c r="BK23" s="253">
        <v>0</v>
      </c>
      <c r="BL23" s="253">
        <v>0</v>
      </c>
      <c r="BM23" s="253">
        <v>0</v>
      </c>
      <c r="BN23" s="253"/>
      <c r="BO23" s="247"/>
      <c r="BP23" s="263">
        <v>6264329714.5799999</v>
      </c>
      <c r="BQ23" s="263">
        <v>63736</v>
      </c>
      <c r="BR23" s="263">
        <v>147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254</v>
      </c>
      <c r="H24" s="223">
        <v>53910.71384497</v>
      </c>
      <c r="I24" s="164"/>
      <c r="K24" s="231"/>
      <c r="L24" s="228"/>
      <c r="M24" s="228"/>
      <c r="O24" s="241" t="s">
        <v>271</v>
      </c>
      <c r="P24" s="241">
        <v>10845.773566059999</v>
      </c>
      <c r="Q24" s="239"/>
      <c r="S24" s="253" t="s">
        <v>451</v>
      </c>
      <c r="T24" s="258">
        <v>100656</v>
      </c>
      <c r="U24" s="258">
        <v>32</v>
      </c>
      <c r="V24" s="258">
        <v>1</v>
      </c>
      <c r="W24" s="258">
        <v>150745</v>
      </c>
      <c r="X24" s="258">
        <v>1</v>
      </c>
      <c r="Y24" s="245"/>
      <c r="Z24" s="253" t="s">
        <v>594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592</v>
      </c>
      <c r="AO24" s="253">
        <v>31760.2</v>
      </c>
      <c r="AP24" s="253">
        <v>20</v>
      </c>
      <c r="AQ24" s="253">
        <v>2</v>
      </c>
      <c r="AR24" s="253">
        <v>1060</v>
      </c>
      <c r="AS24" s="253">
        <v>0</v>
      </c>
      <c r="AT24" s="245"/>
      <c r="AU24" s="253" t="s">
        <v>592</v>
      </c>
      <c r="AV24" s="253">
        <v>0</v>
      </c>
      <c r="AW24" s="253">
        <v>0</v>
      </c>
      <c r="AX24" s="253">
        <v>0</v>
      </c>
      <c r="AY24" s="253">
        <v>60</v>
      </c>
      <c r="AZ24" s="253">
        <v>0</v>
      </c>
      <c r="BA24" s="245"/>
      <c r="BB24" s="253" t="s">
        <v>592</v>
      </c>
      <c r="BC24" s="253">
        <v>0</v>
      </c>
      <c r="BD24" s="253">
        <v>0</v>
      </c>
      <c r="BE24" s="253">
        <v>0</v>
      </c>
      <c r="BF24" s="253">
        <v>1320</v>
      </c>
      <c r="BG24" s="253">
        <v>0</v>
      </c>
      <c r="BH24" s="247" t="s">
        <v>592</v>
      </c>
      <c r="BI24" s="253">
        <v>0</v>
      </c>
      <c r="BJ24" s="253">
        <v>0</v>
      </c>
      <c r="BK24" s="253">
        <v>0</v>
      </c>
      <c r="BL24" s="253">
        <v>60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271</v>
      </c>
      <c r="H25" s="223">
        <v>10515.89731095</v>
      </c>
      <c r="I25" s="164"/>
      <c r="K25" s="231"/>
      <c r="L25" s="228"/>
      <c r="M25" s="228"/>
      <c r="O25" s="241" t="s">
        <v>272</v>
      </c>
      <c r="P25" s="241">
        <v>11473.55175608</v>
      </c>
      <c r="Q25" s="239"/>
      <c r="S25" s="253" t="s">
        <v>448</v>
      </c>
      <c r="T25" s="258">
        <v>0</v>
      </c>
      <c r="U25" s="258">
        <v>87542</v>
      </c>
      <c r="V25" s="258">
        <v>116</v>
      </c>
      <c r="W25" s="258">
        <v>692684</v>
      </c>
      <c r="X25" s="258">
        <v>1</v>
      </c>
      <c r="Y25" s="245"/>
      <c r="Z25" s="253" t="s">
        <v>595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593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593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593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593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569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272</v>
      </c>
      <c r="H26" s="223">
        <v>9856.7754953999993</v>
      </c>
      <c r="I26" s="164"/>
      <c r="J26" s="157"/>
      <c r="K26" s="232"/>
      <c r="L26" s="228"/>
      <c r="M26" s="228"/>
      <c r="O26" s="241" t="s">
        <v>273</v>
      </c>
      <c r="P26" s="241">
        <v>21265.76134008</v>
      </c>
      <c r="Q26" s="239"/>
      <c r="S26" s="253" t="s">
        <v>182</v>
      </c>
      <c r="T26" s="258">
        <v>120132.5</v>
      </c>
      <c r="U26" s="258">
        <v>250</v>
      </c>
      <c r="V26" s="258">
        <v>1</v>
      </c>
      <c r="W26" s="258">
        <v>2740699</v>
      </c>
      <c r="X26" s="258">
        <v>1</v>
      </c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616</v>
      </c>
      <c r="AO26" s="253">
        <v>0</v>
      </c>
      <c r="AP26" s="253">
        <v>0</v>
      </c>
      <c r="AQ26" s="253">
        <v>0</v>
      </c>
      <c r="AR26" s="253">
        <v>5280</v>
      </c>
      <c r="AS26" s="253">
        <v>0</v>
      </c>
      <c r="AT26" s="245"/>
      <c r="AU26" s="253" t="s">
        <v>616</v>
      </c>
      <c r="AV26" s="253">
        <v>0</v>
      </c>
      <c r="AW26" s="253">
        <v>0</v>
      </c>
      <c r="AX26" s="253">
        <v>0</v>
      </c>
      <c r="AY26" s="253">
        <v>240</v>
      </c>
      <c r="AZ26" s="253">
        <v>0</v>
      </c>
      <c r="BA26" s="245"/>
      <c r="BB26" s="253" t="s">
        <v>616</v>
      </c>
      <c r="BC26" s="253">
        <v>0</v>
      </c>
      <c r="BD26" s="253">
        <v>0</v>
      </c>
      <c r="BE26" s="253">
        <v>0</v>
      </c>
      <c r="BF26" s="253">
        <v>4560</v>
      </c>
      <c r="BG26" s="253">
        <v>0</v>
      </c>
      <c r="BH26" s="247" t="s">
        <v>618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848474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273</v>
      </c>
      <c r="H27" s="223">
        <v>20500.46856945</v>
      </c>
      <c r="I27" s="164"/>
      <c r="J27" s="157"/>
      <c r="K27" s="231"/>
      <c r="L27" s="228"/>
      <c r="M27" s="228"/>
      <c r="O27" s="241" t="s">
        <v>274</v>
      </c>
      <c r="P27" s="241">
        <v>3226.7789191400002</v>
      </c>
      <c r="Q27" s="239"/>
      <c r="S27" s="253" t="s">
        <v>446</v>
      </c>
      <c r="T27" s="258">
        <v>10845656897.243</v>
      </c>
      <c r="U27" s="258">
        <v>28150</v>
      </c>
      <c r="V27" s="258">
        <v>13318</v>
      </c>
      <c r="W27" s="258">
        <v>607786</v>
      </c>
      <c r="X27" s="258">
        <v>1</v>
      </c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596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596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618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619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643</v>
      </c>
      <c r="CT27" s="275" t="s">
        <v>644</v>
      </c>
      <c r="CU27" s="275" t="s">
        <v>645</v>
      </c>
      <c r="CV27" s="275" t="s">
        <v>646</v>
      </c>
      <c r="CW27" s="275" t="s">
        <v>647</v>
      </c>
      <c r="CX27" s="275" t="s">
        <v>648</v>
      </c>
      <c r="CY27" s="275" t="s">
        <v>649</v>
      </c>
      <c r="CZ27" s="275" t="s">
        <v>650</v>
      </c>
      <c r="DA27" s="275" t="s">
        <v>651</v>
      </c>
      <c r="DB27" s="275" t="s">
        <v>652</v>
      </c>
      <c r="DC27" s="275" t="s">
        <v>653</v>
      </c>
      <c r="DD27" s="275" t="s">
        <v>654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274</v>
      </c>
      <c r="H28" s="223">
        <v>2734.8622909000001</v>
      </c>
      <c r="I28" s="164"/>
      <c r="J28" s="157"/>
      <c r="K28" s="231"/>
      <c r="L28" s="233"/>
      <c r="M28" s="236"/>
      <c r="O28" s="241" t="s">
        <v>275</v>
      </c>
      <c r="P28" s="241">
        <v>3443.65253747</v>
      </c>
      <c r="Q28" s="239"/>
      <c r="S28" s="245" t="s">
        <v>449</v>
      </c>
      <c r="T28" s="245">
        <v>5023200</v>
      </c>
      <c r="U28" s="245">
        <v>40000</v>
      </c>
      <c r="V28" s="245">
        <v>1</v>
      </c>
      <c r="W28" s="245">
        <v>1546008</v>
      </c>
      <c r="X28" s="245">
        <v>1</v>
      </c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597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597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619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596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569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2017</v>
      </c>
      <c r="CT28" s="275">
        <v>46</v>
      </c>
      <c r="CU28" s="275" t="s">
        <v>655</v>
      </c>
      <c r="CV28" s="275">
        <v>0</v>
      </c>
      <c r="CW28" s="275">
        <v>31641160883</v>
      </c>
      <c r="CX28" s="275">
        <v>4106</v>
      </c>
      <c r="CY28" s="275">
        <v>0</v>
      </c>
      <c r="CZ28" s="275">
        <v>198543525048</v>
      </c>
      <c r="DA28" s="275">
        <v>2242</v>
      </c>
      <c r="DB28" s="275">
        <v>0</v>
      </c>
      <c r="DC28" s="275">
        <v>166902364165</v>
      </c>
      <c r="DD28" s="275">
        <v>1864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275</v>
      </c>
      <c r="H29" s="223">
        <v>2721.23560206</v>
      </c>
      <c r="I29" s="164"/>
      <c r="J29" s="157"/>
      <c r="K29" s="231"/>
      <c r="L29" s="228"/>
      <c r="M29" s="228"/>
      <c r="O29" s="241" t="s">
        <v>93</v>
      </c>
      <c r="P29" s="241">
        <v>3637.3370576100001</v>
      </c>
      <c r="Q29" s="239"/>
      <c r="S29" s="245" t="s">
        <v>450</v>
      </c>
      <c r="T29" s="245">
        <v>0</v>
      </c>
      <c r="U29" s="245">
        <v>34000</v>
      </c>
      <c r="V29" s="245">
        <v>1</v>
      </c>
      <c r="W29" s="245">
        <v>1460725</v>
      </c>
      <c r="X29" s="245">
        <v>1</v>
      </c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598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598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596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597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126060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2017</v>
      </c>
      <c r="CT29" s="275">
        <v>3</v>
      </c>
      <c r="CU29" s="275" t="s">
        <v>663</v>
      </c>
      <c r="CV29" s="275">
        <v>294276509.67000002</v>
      </c>
      <c r="CW29" s="275">
        <v>299810000</v>
      </c>
      <c r="CX29" s="275">
        <v>3</v>
      </c>
      <c r="CY29" s="275">
        <v>294888623.24000001</v>
      </c>
      <c r="CZ29" s="275">
        <v>300110000</v>
      </c>
      <c r="DA29" s="275">
        <v>2</v>
      </c>
      <c r="DB29" s="275">
        <v>612113.56999999995</v>
      </c>
      <c r="DC29" s="275">
        <v>300000</v>
      </c>
      <c r="DD29" s="275">
        <v>1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93</v>
      </c>
      <c r="H30" s="223">
        <v>3116.0844973399999</v>
      </c>
      <c r="I30" s="164"/>
      <c r="J30" s="157"/>
      <c r="K30" s="231"/>
      <c r="L30" s="228"/>
      <c r="M30" s="228"/>
      <c r="O30" s="241" t="s">
        <v>63</v>
      </c>
      <c r="P30" s="241">
        <v>1376.9296855600001</v>
      </c>
      <c r="Q30" s="239"/>
      <c r="S30" s="254" t="s">
        <v>447</v>
      </c>
      <c r="T30" s="257">
        <v>170493906.19999999</v>
      </c>
      <c r="U30" s="257">
        <v>87552</v>
      </c>
      <c r="V30" s="257">
        <v>117</v>
      </c>
      <c r="W30" s="257">
        <v>1009986</v>
      </c>
      <c r="X30" s="257">
        <v>1</v>
      </c>
      <c r="Y30" s="245"/>
      <c r="Z30" s="253" t="s">
        <v>600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600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599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599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597</v>
      </c>
      <c r="BC30" s="253">
        <v>0</v>
      </c>
      <c r="BD30" s="253">
        <v>0</v>
      </c>
      <c r="BE30" s="253">
        <v>0</v>
      </c>
      <c r="BF30" s="253">
        <v>0</v>
      </c>
      <c r="BG30" s="253">
        <v>0</v>
      </c>
      <c r="BH30" s="247" t="s">
        <v>598</v>
      </c>
      <c r="BI30" s="253">
        <v>0</v>
      </c>
      <c r="BJ30" s="253">
        <v>0</v>
      </c>
      <c r="BK30" s="253">
        <v>0</v>
      </c>
      <c r="BL30" s="253">
        <v>0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2017</v>
      </c>
      <c r="CT30" s="275">
        <v>26</v>
      </c>
      <c r="CU30" s="275" t="s">
        <v>656</v>
      </c>
      <c r="CV30" s="275">
        <v>-217586731760.71991</v>
      </c>
      <c r="CW30" s="275">
        <v>-160609606773</v>
      </c>
      <c r="CX30" s="275">
        <v>8268</v>
      </c>
      <c r="CY30" s="275">
        <v>460762578247.22058</v>
      </c>
      <c r="CZ30" s="275">
        <v>490788835000</v>
      </c>
      <c r="DA30" s="275">
        <v>5514</v>
      </c>
      <c r="DB30" s="275">
        <v>678349310007.94043</v>
      </c>
      <c r="DC30" s="275">
        <v>651398441773</v>
      </c>
      <c r="DD30" s="275">
        <v>2754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63</v>
      </c>
      <c r="H31" s="223">
        <v>1098.81498244</v>
      </c>
      <c r="I31" s="164"/>
      <c r="J31" s="158"/>
      <c r="K31" s="229"/>
      <c r="L31" s="228"/>
      <c r="M31" s="228"/>
      <c r="O31" s="241" t="s">
        <v>276</v>
      </c>
      <c r="P31" s="241">
        <v>18173.790852120001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601</v>
      </c>
      <c r="AA31" s="253">
        <v>2499155.1800000002</v>
      </c>
      <c r="AB31" s="253">
        <v>412</v>
      </c>
      <c r="AC31" s="253">
        <v>71</v>
      </c>
      <c r="AD31" s="253">
        <v>50558</v>
      </c>
      <c r="AE31" s="253">
        <v>0</v>
      </c>
      <c r="AF31" s="253"/>
      <c r="AG31" s="253" t="s">
        <v>601</v>
      </c>
      <c r="AH31" s="253">
        <v>294129.56</v>
      </c>
      <c r="AI31" s="253">
        <v>36</v>
      </c>
      <c r="AJ31" s="253">
        <v>4</v>
      </c>
      <c r="AK31" s="253">
        <v>1472</v>
      </c>
      <c r="AL31" s="253">
        <v>0</v>
      </c>
      <c r="AM31" s="245"/>
      <c r="AN31" s="253" t="s">
        <v>600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600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598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599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539</v>
      </c>
      <c r="BQ31" s="264" t="s">
        <v>567</v>
      </c>
      <c r="BR31" s="264" t="s">
        <v>568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2017</v>
      </c>
      <c r="CT31" s="275">
        <v>26</v>
      </c>
      <c r="CU31" s="275" t="s">
        <v>657</v>
      </c>
      <c r="CV31" s="275">
        <v>209747444392.72946</v>
      </c>
      <c r="CW31" s="275">
        <v>153785386626</v>
      </c>
      <c r="CX31" s="275">
        <v>8170</v>
      </c>
      <c r="CY31" s="275">
        <v>664646847638.61975</v>
      </c>
      <c r="CZ31" s="275">
        <v>638039221626</v>
      </c>
      <c r="DA31" s="275">
        <v>2717</v>
      </c>
      <c r="DB31" s="275">
        <v>454899403245.88885</v>
      </c>
      <c r="DC31" s="275">
        <v>484253835000</v>
      </c>
      <c r="DD31" s="275">
        <v>5453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276</v>
      </c>
      <c r="H32" s="223">
        <v>17852.399952840002</v>
      </c>
      <c r="I32" s="164"/>
      <c r="J32" s="157"/>
      <c r="K32" s="229"/>
      <c r="L32" s="228"/>
      <c r="M32" s="228"/>
      <c r="O32" s="241" t="s">
        <v>106</v>
      </c>
      <c r="P32" s="241">
        <v>22.084320389999998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602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601</v>
      </c>
      <c r="AO32" s="253">
        <v>48885299.759999998</v>
      </c>
      <c r="AP32" s="253">
        <v>3830</v>
      </c>
      <c r="AQ32" s="253">
        <v>258</v>
      </c>
      <c r="AR32" s="253">
        <v>93454</v>
      </c>
      <c r="AS32" s="253">
        <v>0</v>
      </c>
      <c r="AT32" s="245"/>
      <c r="AU32" s="253" t="s">
        <v>601</v>
      </c>
      <c r="AV32" s="253">
        <v>3072021.8</v>
      </c>
      <c r="AW32" s="253">
        <v>271</v>
      </c>
      <c r="AX32" s="253">
        <v>20</v>
      </c>
      <c r="AY32" s="253">
        <v>5047</v>
      </c>
      <c r="AZ32" s="253">
        <v>0</v>
      </c>
      <c r="BA32" s="245"/>
      <c r="BB32" s="253" t="s">
        <v>599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600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1275878007717.5198</v>
      </c>
      <c r="BQ32" s="263">
        <v>11699161</v>
      </c>
      <c r="BR32" s="263">
        <v>12177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2017</v>
      </c>
      <c r="CT32" s="275">
        <v>557</v>
      </c>
      <c r="CU32" s="275" t="s">
        <v>658</v>
      </c>
      <c r="CV32" s="275">
        <v>-43873392290.79995</v>
      </c>
      <c r="CW32" s="275">
        <v>-43368477340</v>
      </c>
      <c r="CX32" s="275">
        <v>9287</v>
      </c>
      <c r="CY32" s="275">
        <v>110620138331.15999</v>
      </c>
      <c r="CZ32" s="275">
        <v>110109035381</v>
      </c>
      <c r="DA32" s="275">
        <v>5180</v>
      </c>
      <c r="DB32" s="275">
        <v>154493530621.95975</v>
      </c>
      <c r="DC32" s="275">
        <v>153477512721</v>
      </c>
      <c r="DD32" s="275">
        <v>4107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106</v>
      </c>
      <c r="H33" s="223">
        <v>19.4656898</v>
      </c>
      <c r="I33" s="164"/>
      <c r="J33" s="157"/>
      <c r="K33" s="228"/>
      <c r="L33" s="228"/>
      <c r="M33" s="228"/>
      <c r="O33" s="241" t="s">
        <v>108</v>
      </c>
      <c r="P33" s="241">
        <v>8530.8841339600003</v>
      </c>
      <c r="Q33" s="239"/>
      <c r="R33" s="153" t="s">
        <v>454</v>
      </c>
      <c r="S33" s="253" t="s">
        <v>565</v>
      </c>
      <c r="T33" s="258" t="s">
        <v>566</v>
      </c>
      <c r="U33" s="258" t="s">
        <v>567</v>
      </c>
      <c r="V33" s="258" t="s">
        <v>568</v>
      </c>
      <c r="W33" s="258" t="s">
        <v>569</v>
      </c>
      <c r="X33" s="258" t="s">
        <v>570</v>
      </c>
      <c r="Y33" s="245"/>
      <c r="Z33" s="253" t="s">
        <v>603</v>
      </c>
      <c r="AA33" s="253">
        <v>0</v>
      </c>
      <c r="AB33" s="253">
        <v>0</v>
      </c>
      <c r="AC33" s="253">
        <v>0</v>
      </c>
      <c r="AD33" s="253">
        <v>0</v>
      </c>
      <c r="AE33" s="253">
        <v>0</v>
      </c>
      <c r="AF33" s="253"/>
      <c r="AG33" s="253" t="s">
        <v>603</v>
      </c>
      <c r="AH33" s="253">
        <v>0</v>
      </c>
      <c r="AI33" s="253">
        <v>0</v>
      </c>
      <c r="AJ33" s="253">
        <v>0</v>
      </c>
      <c r="AK33" s="253">
        <v>0</v>
      </c>
      <c r="AL33" s="253">
        <v>0</v>
      </c>
      <c r="AM33" s="245"/>
      <c r="AN33" s="253" t="s">
        <v>602</v>
      </c>
      <c r="AO33" s="253">
        <v>0</v>
      </c>
      <c r="AP33" s="253">
        <v>0</v>
      </c>
      <c r="AQ33" s="253">
        <v>0</v>
      </c>
      <c r="AR33" s="253">
        <v>0</v>
      </c>
      <c r="AS33" s="253">
        <v>0</v>
      </c>
      <c r="AT33" s="245"/>
      <c r="AU33" s="253" t="s">
        <v>602</v>
      </c>
      <c r="AV33" s="253">
        <v>0</v>
      </c>
      <c r="AW33" s="253">
        <v>0</v>
      </c>
      <c r="AX33" s="253">
        <v>0</v>
      </c>
      <c r="AY33" s="253">
        <v>0</v>
      </c>
      <c r="AZ33" s="253">
        <v>0</v>
      </c>
      <c r="BA33" s="245"/>
      <c r="BB33" s="253" t="s">
        <v>600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601</v>
      </c>
      <c r="BI33" s="253">
        <v>6240273.3200000003</v>
      </c>
      <c r="BJ33" s="253">
        <v>632</v>
      </c>
      <c r="BK33" s="253">
        <v>15</v>
      </c>
      <c r="BL33" s="253">
        <v>3247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2017</v>
      </c>
      <c r="CT33" s="275">
        <v>223</v>
      </c>
      <c r="CU33" s="275" t="s">
        <v>659</v>
      </c>
      <c r="CV33" s="275">
        <v>96023893414.719986</v>
      </c>
      <c r="CW33" s="275">
        <v>99021399627</v>
      </c>
      <c r="CX33" s="275">
        <v>31456</v>
      </c>
      <c r="CY33" s="275">
        <v>911151124956.47864</v>
      </c>
      <c r="CZ33" s="275">
        <v>883821746105</v>
      </c>
      <c r="DA33" s="275">
        <v>17221</v>
      </c>
      <c r="DB33" s="275">
        <v>815127231541.75952</v>
      </c>
      <c r="DC33" s="275">
        <v>784800346478</v>
      </c>
      <c r="DD33" s="275">
        <v>14235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108</v>
      </c>
      <c r="H34" s="223">
        <v>8717.8952440100002</v>
      </c>
      <c r="I34" s="164"/>
      <c r="J34" s="157"/>
      <c r="K34" s="228"/>
      <c r="L34" s="228"/>
      <c r="M34" s="228"/>
      <c r="O34" s="241" t="s">
        <v>279</v>
      </c>
      <c r="P34" s="241">
        <v>61722.790885460003</v>
      </c>
      <c r="Q34" s="239"/>
      <c r="R34" s="157"/>
      <c r="S34" s="253" t="s">
        <v>451</v>
      </c>
      <c r="T34" s="258">
        <v>151927360.19999999</v>
      </c>
      <c r="U34" s="258">
        <v>116891</v>
      </c>
      <c r="V34" s="258">
        <v>157</v>
      </c>
      <c r="W34" s="258">
        <v>318663</v>
      </c>
      <c r="X34" s="258">
        <v>0</v>
      </c>
      <c r="Y34" s="245"/>
      <c r="Z34" s="253" t="s">
        <v>604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603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603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601</v>
      </c>
      <c r="BC34" s="253">
        <v>43938200.68</v>
      </c>
      <c r="BD34" s="253">
        <v>5295</v>
      </c>
      <c r="BE34" s="253">
        <v>384</v>
      </c>
      <c r="BF34" s="253">
        <v>104517</v>
      </c>
      <c r="BG34" s="253">
        <v>0</v>
      </c>
      <c r="BH34" s="247" t="s">
        <v>602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539</v>
      </c>
      <c r="BQ34" s="264" t="s">
        <v>567</v>
      </c>
      <c r="BR34" s="264" t="s">
        <v>568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>
        <v>2017</v>
      </c>
      <c r="CT34" s="275">
        <v>27</v>
      </c>
      <c r="CU34" s="275" t="s">
        <v>660</v>
      </c>
      <c r="CV34" s="275">
        <v>-11765046553.620003</v>
      </c>
      <c r="CW34" s="275">
        <v>-12053082076</v>
      </c>
      <c r="CX34" s="275">
        <v>926</v>
      </c>
      <c r="CY34" s="275">
        <v>32470462320.600014</v>
      </c>
      <c r="CZ34" s="275">
        <v>33797893771</v>
      </c>
      <c r="DA34" s="275">
        <v>380</v>
      </c>
      <c r="DB34" s="275">
        <v>44235508874.219955</v>
      </c>
      <c r="DC34" s="275">
        <v>45850975847</v>
      </c>
      <c r="DD34" s="275">
        <v>546</v>
      </c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279</v>
      </c>
      <c r="H35" s="223">
        <v>55473.93673455</v>
      </c>
      <c r="I35" s="164"/>
      <c r="J35" s="157"/>
      <c r="K35" s="228"/>
      <c r="L35" s="228"/>
      <c r="M35" s="228"/>
      <c r="O35" s="241" t="s">
        <v>280</v>
      </c>
      <c r="P35" s="241">
        <v>14925.09733542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605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604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604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602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603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41240919751.860001</v>
      </c>
      <c r="BQ35" s="263">
        <v>411827</v>
      </c>
      <c r="BR35" s="263">
        <v>934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280</v>
      </c>
      <c r="H36" s="223">
        <v>12926.79629427</v>
      </c>
      <c r="I36" s="164"/>
      <c r="J36" s="157"/>
      <c r="K36" s="228"/>
      <c r="L36" s="228"/>
      <c r="M36" s="228"/>
      <c r="O36" s="241" t="s">
        <v>281</v>
      </c>
      <c r="P36" s="241">
        <v>28171.432073389999</v>
      </c>
      <c r="Q36" s="239"/>
      <c r="R36" s="157"/>
      <c r="S36" s="253" t="s">
        <v>446</v>
      </c>
      <c r="T36" s="258">
        <v>4022520551.1700001</v>
      </c>
      <c r="U36" s="258">
        <v>400869</v>
      </c>
      <c r="V36" s="258">
        <v>741</v>
      </c>
      <c r="W36" s="258">
        <v>1076998</v>
      </c>
      <c r="X36" s="258">
        <v>0</v>
      </c>
      <c r="Y36" s="245"/>
      <c r="Z36" s="253" t="s">
        <v>606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606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605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605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603</v>
      </c>
      <c r="BC36" s="253">
        <v>0</v>
      </c>
      <c r="BD36" s="253">
        <v>0</v>
      </c>
      <c r="BE36" s="253">
        <v>0</v>
      </c>
      <c r="BF36" s="253">
        <v>0</v>
      </c>
      <c r="BG36" s="253">
        <v>0</v>
      </c>
      <c r="BH36" s="247" t="s">
        <v>604</v>
      </c>
      <c r="BI36" s="253">
        <v>0</v>
      </c>
      <c r="BJ36" s="253">
        <v>0</v>
      </c>
      <c r="BK36" s="253">
        <v>0</v>
      </c>
      <c r="BL36" s="253">
        <v>0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281</v>
      </c>
      <c r="H37" s="223">
        <v>27660.20597689</v>
      </c>
      <c r="I37" s="164"/>
      <c r="J37" s="157"/>
      <c r="K37" s="228"/>
      <c r="L37" s="228"/>
      <c r="M37" s="228"/>
      <c r="O37" s="241" t="s">
        <v>56</v>
      </c>
      <c r="P37" s="241">
        <v>52570.202037770003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607</v>
      </c>
      <c r="AA37" s="253">
        <v>8151082.5899999999</v>
      </c>
      <c r="AB37" s="253">
        <v>2384</v>
      </c>
      <c r="AC37" s="253">
        <v>104</v>
      </c>
      <c r="AD37" s="253">
        <v>81315</v>
      </c>
      <c r="AE37" s="253">
        <v>0</v>
      </c>
      <c r="AF37" s="253"/>
      <c r="AG37" s="253" t="s">
        <v>607</v>
      </c>
      <c r="AH37" s="253">
        <v>928563.3</v>
      </c>
      <c r="AI37" s="253">
        <v>72</v>
      </c>
      <c r="AJ37" s="253">
        <v>19</v>
      </c>
      <c r="AK37" s="253">
        <v>1275</v>
      </c>
      <c r="AL37" s="253">
        <v>0</v>
      </c>
      <c r="AM37" s="245"/>
      <c r="AN37" s="253" t="s">
        <v>606</v>
      </c>
      <c r="AO37" s="253">
        <v>0</v>
      </c>
      <c r="AP37" s="253">
        <v>0</v>
      </c>
      <c r="AQ37" s="253">
        <v>0</v>
      </c>
      <c r="AR37" s="253">
        <v>0</v>
      </c>
      <c r="AS37" s="253">
        <v>0</v>
      </c>
      <c r="AT37" s="245"/>
      <c r="AU37" s="253" t="s">
        <v>606</v>
      </c>
      <c r="AV37" s="253">
        <v>0</v>
      </c>
      <c r="AW37" s="253">
        <v>0</v>
      </c>
      <c r="AX37" s="253">
        <v>0</v>
      </c>
      <c r="AY37" s="253">
        <v>0</v>
      </c>
      <c r="AZ37" s="253">
        <v>0</v>
      </c>
      <c r="BA37" s="245"/>
      <c r="BB37" s="253" t="s">
        <v>604</v>
      </c>
      <c r="BC37" s="253">
        <v>0</v>
      </c>
      <c r="BD37" s="253">
        <v>0</v>
      </c>
      <c r="BE37" s="253">
        <v>0</v>
      </c>
      <c r="BF37" s="253">
        <v>0</v>
      </c>
      <c r="BG37" s="253">
        <v>0</v>
      </c>
      <c r="BH37" s="247" t="s">
        <v>605</v>
      </c>
      <c r="BI37" s="253">
        <v>0</v>
      </c>
      <c r="BJ37" s="253">
        <v>0</v>
      </c>
      <c r="BK37" s="253">
        <v>0</v>
      </c>
      <c r="BL37" s="253">
        <v>0</v>
      </c>
      <c r="BM37" s="253">
        <v>0</v>
      </c>
      <c r="BN37" s="253"/>
      <c r="BO37" s="256" t="s">
        <v>473</v>
      </c>
      <c r="BP37" s="264" t="s">
        <v>539</v>
      </c>
      <c r="BQ37" s="264" t="s">
        <v>567</v>
      </c>
      <c r="BR37" s="264" t="s">
        <v>568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56</v>
      </c>
      <c r="H38" s="223">
        <v>44656.888873069998</v>
      </c>
      <c r="I38" s="164"/>
      <c r="J38" s="157"/>
      <c r="K38" s="228"/>
      <c r="L38" s="228"/>
      <c r="M38" s="228"/>
      <c r="O38" s="241" t="s">
        <v>45</v>
      </c>
      <c r="P38" s="241">
        <v>75145.479720689997</v>
      </c>
      <c r="Q38" s="239"/>
      <c r="R38" s="157"/>
      <c r="S38" s="253" t="s">
        <v>447</v>
      </c>
      <c r="T38" s="258">
        <v>612870196.78999996</v>
      </c>
      <c r="U38" s="258">
        <v>585149</v>
      </c>
      <c r="V38" s="258">
        <v>411</v>
      </c>
      <c r="W38" s="258">
        <v>2073130</v>
      </c>
      <c r="X38" s="258">
        <v>0</v>
      </c>
      <c r="Y38" s="245"/>
      <c r="Z38" s="253" t="s">
        <v>608</v>
      </c>
      <c r="AA38" s="253">
        <v>326513849.90999001</v>
      </c>
      <c r="AB38" s="253">
        <v>28448</v>
      </c>
      <c r="AC38" s="253">
        <v>3526</v>
      </c>
      <c r="AD38" s="253">
        <v>973061</v>
      </c>
      <c r="AE38" s="253">
        <v>0</v>
      </c>
      <c r="AF38" s="253"/>
      <c r="AG38" s="253" t="s">
        <v>608</v>
      </c>
      <c r="AH38" s="253">
        <v>31299358.73</v>
      </c>
      <c r="AI38" s="253">
        <v>2270</v>
      </c>
      <c r="AJ38" s="253">
        <v>130</v>
      </c>
      <c r="AK38" s="253">
        <v>37431</v>
      </c>
      <c r="AL38" s="253">
        <v>0</v>
      </c>
      <c r="AM38" s="245"/>
      <c r="AN38" s="253" t="s">
        <v>607</v>
      </c>
      <c r="AO38" s="253">
        <v>28584925.140000001</v>
      </c>
      <c r="AP38" s="253">
        <v>3841</v>
      </c>
      <c r="AQ38" s="253">
        <v>269</v>
      </c>
      <c r="AR38" s="253">
        <v>106074</v>
      </c>
      <c r="AS38" s="253">
        <v>0</v>
      </c>
      <c r="AT38" s="245"/>
      <c r="AU38" s="253" t="s">
        <v>607</v>
      </c>
      <c r="AV38" s="253">
        <v>161114</v>
      </c>
      <c r="AW38" s="253">
        <v>27</v>
      </c>
      <c r="AX38" s="253">
        <v>15</v>
      </c>
      <c r="AY38" s="253">
        <v>4855</v>
      </c>
      <c r="AZ38" s="253">
        <v>0</v>
      </c>
      <c r="BA38" s="245"/>
      <c r="BB38" s="253" t="s">
        <v>605</v>
      </c>
      <c r="BC38" s="253">
        <v>0</v>
      </c>
      <c r="BD38" s="253">
        <v>0</v>
      </c>
      <c r="BE38" s="253">
        <v>0</v>
      </c>
      <c r="BF38" s="253">
        <v>0</v>
      </c>
      <c r="BG38" s="253">
        <v>0</v>
      </c>
      <c r="BH38" s="247" t="s">
        <v>606</v>
      </c>
      <c r="BI38" s="253">
        <v>0</v>
      </c>
      <c r="BJ38" s="253">
        <v>0</v>
      </c>
      <c r="BK38" s="253">
        <v>0</v>
      </c>
      <c r="BL38" s="253">
        <v>0</v>
      </c>
      <c r="BM38" s="253">
        <v>0</v>
      </c>
      <c r="BN38" s="253"/>
      <c r="BO38" s="247"/>
      <c r="BP38" s="263">
        <v>1311085283031.4502</v>
      </c>
      <c r="BQ38" s="263">
        <v>11766157</v>
      </c>
      <c r="BR38" s="263">
        <v>12376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45</v>
      </c>
      <c r="H39" s="223">
        <v>67810.485425749997</v>
      </c>
      <c r="I39" s="164"/>
      <c r="J39" s="157"/>
      <c r="K39" s="228"/>
      <c r="L39" s="228"/>
      <c r="M39" s="228"/>
      <c r="O39" s="241" t="s">
        <v>47</v>
      </c>
      <c r="P39" s="241">
        <v>61039.046541449999</v>
      </c>
      <c r="Q39" s="239"/>
      <c r="R39" s="157"/>
      <c r="S39" s="253" t="s">
        <v>571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609</v>
      </c>
      <c r="AA39" s="253">
        <v>52537113.789999999</v>
      </c>
      <c r="AB39" s="253">
        <v>5372</v>
      </c>
      <c r="AC39" s="253">
        <v>432</v>
      </c>
      <c r="AD39" s="253">
        <v>455006</v>
      </c>
      <c r="AE39" s="253">
        <v>0</v>
      </c>
      <c r="AF39" s="253"/>
      <c r="AG39" s="253" t="s">
        <v>609</v>
      </c>
      <c r="AH39" s="253">
        <v>2905675</v>
      </c>
      <c r="AI39" s="253">
        <v>374</v>
      </c>
      <c r="AJ39" s="253">
        <v>12</v>
      </c>
      <c r="AK39" s="253">
        <v>12323</v>
      </c>
      <c r="AL39" s="253">
        <v>0</v>
      </c>
      <c r="AM39" s="245"/>
      <c r="AN39" s="253" t="s">
        <v>608</v>
      </c>
      <c r="AO39" s="253">
        <v>130398430.17</v>
      </c>
      <c r="AP39" s="253">
        <v>13472</v>
      </c>
      <c r="AQ39" s="253">
        <v>1776</v>
      </c>
      <c r="AR39" s="253">
        <v>763235</v>
      </c>
      <c r="AS39" s="253">
        <v>0</v>
      </c>
      <c r="AT39" s="245"/>
      <c r="AU39" s="253" t="s">
        <v>608</v>
      </c>
      <c r="AV39" s="253">
        <v>2781212</v>
      </c>
      <c r="AW39" s="253">
        <v>284</v>
      </c>
      <c r="AX39" s="253">
        <v>73</v>
      </c>
      <c r="AY39" s="253">
        <v>37354</v>
      </c>
      <c r="AZ39" s="253">
        <v>0</v>
      </c>
      <c r="BA39" s="245"/>
      <c r="BB39" s="253" t="s">
        <v>606</v>
      </c>
      <c r="BC39" s="253">
        <v>0</v>
      </c>
      <c r="BD39" s="253">
        <v>0</v>
      </c>
      <c r="BE39" s="253">
        <v>0</v>
      </c>
      <c r="BF39" s="253">
        <v>0</v>
      </c>
      <c r="BG39" s="253">
        <v>0</v>
      </c>
      <c r="BH39" s="247" t="s">
        <v>607</v>
      </c>
      <c r="BI39" s="253">
        <v>951341</v>
      </c>
      <c r="BJ39" s="253">
        <v>99</v>
      </c>
      <c r="BK39" s="253">
        <v>13</v>
      </c>
      <c r="BL39" s="253">
        <v>3501</v>
      </c>
      <c r="BM39" s="253">
        <v>0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47</v>
      </c>
      <c r="H40" s="223">
        <v>50676.653758059998</v>
      </c>
      <c r="I40" s="164"/>
      <c r="J40" s="157"/>
      <c r="K40" s="228"/>
      <c r="L40" s="228"/>
      <c r="M40" s="228"/>
      <c r="O40" s="241" t="s">
        <v>43</v>
      </c>
      <c r="P40" s="241">
        <v>58980.107623830001</v>
      </c>
      <c r="Q40" s="239"/>
      <c r="R40" s="157"/>
      <c r="S40" s="253" t="s">
        <v>451</v>
      </c>
      <c r="T40" s="258">
        <v>5293694384.1020002</v>
      </c>
      <c r="U40" s="258">
        <v>229356</v>
      </c>
      <c r="V40" s="258">
        <v>366</v>
      </c>
      <c r="W40" s="258">
        <v>472686</v>
      </c>
      <c r="X40" s="258">
        <v>1</v>
      </c>
      <c r="Y40" s="245"/>
      <c r="Z40" s="253" t="s">
        <v>610</v>
      </c>
      <c r="AA40" s="253">
        <v>0</v>
      </c>
      <c r="AB40" s="253">
        <v>0</v>
      </c>
      <c r="AC40" s="253">
        <v>0</v>
      </c>
      <c r="AD40" s="253">
        <v>0</v>
      </c>
      <c r="AE40" s="253">
        <v>1</v>
      </c>
      <c r="AF40" s="253"/>
      <c r="AG40" s="253" t="s">
        <v>610</v>
      </c>
      <c r="AH40" s="253">
        <v>0</v>
      </c>
      <c r="AI40" s="253">
        <v>0</v>
      </c>
      <c r="AJ40" s="253">
        <v>0</v>
      </c>
      <c r="AK40" s="253">
        <v>0</v>
      </c>
      <c r="AL40" s="253">
        <v>1</v>
      </c>
      <c r="AM40" s="245"/>
      <c r="AN40" s="253" t="s">
        <v>609</v>
      </c>
      <c r="AO40" s="253">
        <v>42128549.649999999</v>
      </c>
      <c r="AP40" s="253">
        <v>4523</v>
      </c>
      <c r="AQ40" s="253">
        <v>467</v>
      </c>
      <c r="AR40" s="253">
        <v>220119</v>
      </c>
      <c r="AS40" s="253">
        <v>0</v>
      </c>
      <c r="AT40" s="245"/>
      <c r="AU40" s="253" t="s">
        <v>609</v>
      </c>
      <c r="AV40" s="253">
        <v>0</v>
      </c>
      <c r="AW40" s="253">
        <v>0</v>
      </c>
      <c r="AX40" s="253">
        <v>0</v>
      </c>
      <c r="AY40" s="253">
        <v>10871</v>
      </c>
      <c r="AZ40" s="253">
        <v>0</v>
      </c>
      <c r="BA40" s="245"/>
      <c r="BB40" s="253" t="s">
        <v>607</v>
      </c>
      <c r="BC40" s="253">
        <v>45697863.600000001</v>
      </c>
      <c r="BD40" s="253">
        <v>5074</v>
      </c>
      <c r="BE40" s="253">
        <v>472</v>
      </c>
      <c r="BF40" s="253">
        <v>105535</v>
      </c>
      <c r="BG40" s="253">
        <v>0</v>
      </c>
      <c r="BH40" s="247" t="s">
        <v>608</v>
      </c>
      <c r="BI40" s="253">
        <v>4626360.1399999997</v>
      </c>
      <c r="BJ40" s="253">
        <v>429</v>
      </c>
      <c r="BK40" s="253">
        <v>37</v>
      </c>
      <c r="BL40" s="253">
        <v>31053</v>
      </c>
      <c r="BM40" s="253">
        <v>0</v>
      </c>
      <c r="BN40" s="253"/>
      <c r="BO40" s="256" t="s">
        <v>474</v>
      </c>
      <c r="BP40" s="264" t="s">
        <v>539</v>
      </c>
      <c r="BQ40" s="264" t="s">
        <v>567</v>
      </c>
      <c r="BR40" s="264" t="s">
        <v>568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43</v>
      </c>
      <c r="H41" s="223">
        <v>50663.935090730003</v>
      </c>
      <c r="I41" s="164"/>
      <c r="J41" s="157"/>
      <c r="K41" s="228"/>
      <c r="L41" s="228"/>
      <c r="M41" s="228"/>
      <c r="O41" s="241" t="s">
        <v>49</v>
      </c>
      <c r="P41" s="241">
        <v>7566.4797655599996</v>
      </c>
      <c r="Q41" s="239"/>
      <c r="R41" s="157"/>
      <c r="S41" s="253" t="s">
        <v>448</v>
      </c>
      <c r="T41" s="258">
        <v>17511</v>
      </c>
      <c r="U41" s="258">
        <v>256705</v>
      </c>
      <c r="V41" s="258">
        <v>3149</v>
      </c>
      <c r="W41" s="258">
        <v>830042</v>
      </c>
      <c r="X41" s="258">
        <v>1</v>
      </c>
      <c r="Y41" s="245"/>
      <c r="Z41" s="253" t="s">
        <v>572</v>
      </c>
      <c r="AA41" s="253">
        <v>15856894803.780001</v>
      </c>
      <c r="AB41" s="253">
        <v>73083</v>
      </c>
      <c r="AC41" s="253">
        <v>4391</v>
      </c>
      <c r="AD41" s="253">
        <v>358594</v>
      </c>
      <c r="AE41" s="253">
        <v>1</v>
      </c>
      <c r="AF41" s="253"/>
      <c r="AG41" s="253" t="s">
        <v>572</v>
      </c>
      <c r="AH41" s="253">
        <v>1416934418.6300001</v>
      </c>
      <c r="AI41" s="253">
        <v>6642</v>
      </c>
      <c r="AJ41" s="253">
        <v>298</v>
      </c>
      <c r="AK41" s="253">
        <v>16558</v>
      </c>
      <c r="AL41" s="253">
        <v>1</v>
      </c>
      <c r="AM41" s="245"/>
      <c r="AN41" s="253" t="s">
        <v>610</v>
      </c>
      <c r="AO41" s="253">
        <v>0</v>
      </c>
      <c r="AP41" s="253">
        <v>0</v>
      </c>
      <c r="AQ41" s="253">
        <v>0</v>
      </c>
      <c r="AR41" s="253">
        <v>88</v>
      </c>
      <c r="AS41" s="253">
        <v>1</v>
      </c>
      <c r="AT41" s="245"/>
      <c r="AU41" s="253" t="s">
        <v>610</v>
      </c>
      <c r="AV41" s="253">
        <v>0</v>
      </c>
      <c r="AW41" s="253">
        <v>0</v>
      </c>
      <c r="AX41" s="253">
        <v>0</v>
      </c>
      <c r="AY41" s="253">
        <v>4</v>
      </c>
      <c r="AZ41" s="253">
        <v>1</v>
      </c>
      <c r="BA41" s="245"/>
      <c r="BB41" s="253" t="s">
        <v>608</v>
      </c>
      <c r="BC41" s="253">
        <v>170416286.53</v>
      </c>
      <c r="BD41" s="253">
        <v>16157</v>
      </c>
      <c r="BE41" s="253">
        <v>2808</v>
      </c>
      <c r="BF41" s="253">
        <v>833419</v>
      </c>
      <c r="BG41" s="253">
        <v>0</v>
      </c>
      <c r="BH41" s="247" t="s">
        <v>609</v>
      </c>
      <c r="BI41" s="253">
        <v>784346.23</v>
      </c>
      <c r="BJ41" s="253">
        <v>76</v>
      </c>
      <c r="BK41" s="253">
        <v>5</v>
      </c>
      <c r="BL41" s="253">
        <v>8810</v>
      </c>
      <c r="BM41" s="253">
        <v>0</v>
      </c>
      <c r="BN41" s="253"/>
      <c r="BO41" s="245"/>
      <c r="BP41" s="263">
        <v>22142250442.779999</v>
      </c>
      <c r="BQ41" s="263">
        <v>243904</v>
      </c>
      <c r="BR41" s="263">
        <v>688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49</v>
      </c>
      <c r="H42" s="223">
        <v>6744.0767286099999</v>
      </c>
      <c r="I42" s="164"/>
      <c r="J42" s="157"/>
      <c r="K42" s="228"/>
      <c r="L42" s="228"/>
      <c r="M42" s="228"/>
      <c r="O42" s="241" t="s">
        <v>548</v>
      </c>
      <c r="P42" s="241">
        <v>58274.584006370002</v>
      </c>
      <c r="Q42" s="239"/>
      <c r="R42" s="157"/>
      <c r="S42" s="253" t="s">
        <v>182</v>
      </c>
      <c r="T42" s="258">
        <v>48999400.664999999</v>
      </c>
      <c r="U42" s="258">
        <v>1063504</v>
      </c>
      <c r="V42" s="258">
        <v>362</v>
      </c>
      <c r="W42" s="258">
        <v>1536119</v>
      </c>
      <c r="X42" s="258">
        <v>1</v>
      </c>
      <c r="Y42" s="245"/>
      <c r="Z42" s="253" t="s">
        <v>573</v>
      </c>
      <c r="AA42" s="253">
        <v>89053965.730000004</v>
      </c>
      <c r="AB42" s="253">
        <v>971</v>
      </c>
      <c r="AC42" s="253">
        <v>83</v>
      </c>
      <c r="AD42" s="253">
        <v>58399</v>
      </c>
      <c r="AE42" s="253">
        <v>1</v>
      </c>
      <c r="AF42" s="253"/>
      <c r="AG42" s="253" t="s">
        <v>573</v>
      </c>
      <c r="AH42" s="253">
        <v>9014410</v>
      </c>
      <c r="AI42" s="253">
        <v>110</v>
      </c>
      <c r="AJ42" s="253">
        <v>11</v>
      </c>
      <c r="AK42" s="253">
        <v>2235</v>
      </c>
      <c r="AL42" s="253">
        <v>1</v>
      </c>
      <c r="AM42" s="245"/>
      <c r="AN42" s="253" t="s">
        <v>572</v>
      </c>
      <c r="AO42" s="253">
        <v>4631026024.2200003</v>
      </c>
      <c r="AP42" s="253">
        <v>22231</v>
      </c>
      <c r="AQ42" s="253">
        <v>3694</v>
      </c>
      <c r="AR42" s="253">
        <v>202891</v>
      </c>
      <c r="AS42" s="253">
        <v>1</v>
      </c>
      <c r="AT42" s="245"/>
      <c r="AU42" s="253" t="s">
        <v>572</v>
      </c>
      <c r="AV42" s="253">
        <v>214770241.22999999</v>
      </c>
      <c r="AW42" s="253">
        <v>1022</v>
      </c>
      <c r="AX42" s="253">
        <v>131</v>
      </c>
      <c r="AY42" s="253">
        <v>9289</v>
      </c>
      <c r="AZ42" s="253">
        <v>1</v>
      </c>
      <c r="BA42" s="245"/>
      <c r="BB42" s="253" t="s">
        <v>609</v>
      </c>
      <c r="BC42" s="253">
        <v>44840943.82</v>
      </c>
      <c r="BD42" s="253">
        <v>4063</v>
      </c>
      <c r="BE42" s="253">
        <v>503</v>
      </c>
      <c r="BF42" s="253">
        <v>242937</v>
      </c>
      <c r="BG42" s="253">
        <v>0</v>
      </c>
      <c r="BH42" s="247" t="s">
        <v>610</v>
      </c>
      <c r="BI42" s="253">
        <v>0</v>
      </c>
      <c r="BJ42" s="253">
        <v>0</v>
      </c>
      <c r="BK42" s="253">
        <v>0</v>
      </c>
      <c r="BL42" s="253">
        <v>4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548</v>
      </c>
      <c r="H43" s="223">
        <v>49669.506463600002</v>
      </c>
      <c r="I43" s="164"/>
      <c r="J43" s="157"/>
      <c r="K43" s="228"/>
      <c r="L43" s="228"/>
      <c r="M43" s="228"/>
      <c r="O43" s="241" t="s">
        <v>549</v>
      </c>
      <c r="P43" s="241">
        <v>57200.756514009998</v>
      </c>
      <c r="Q43" s="239"/>
      <c r="S43" s="245" t="s">
        <v>446</v>
      </c>
      <c r="T43" s="245">
        <v>328786336550.04089</v>
      </c>
      <c r="U43" s="245">
        <v>888403</v>
      </c>
      <c r="V43" s="245">
        <v>231904</v>
      </c>
      <c r="W43" s="245">
        <v>671733</v>
      </c>
      <c r="X43" s="245">
        <v>1</v>
      </c>
      <c r="Y43" s="245"/>
      <c r="Z43" s="253" t="s">
        <v>574</v>
      </c>
      <c r="AA43" s="253">
        <v>14647989.6</v>
      </c>
      <c r="AB43" s="253">
        <v>220</v>
      </c>
      <c r="AC43" s="253">
        <v>27</v>
      </c>
      <c r="AD43" s="253">
        <v>2142</v>
      </c>
      <c r="AE43" s="253">
        <v>1</v>
      </c>
      <c r="AF43" s="253"/>
      <c r="AG43" s="253" t="s">
        <v>574</v>
      </c>
      <c r="AH43" s="253">
        <v>240400</v>
      </c>
      <c r="AI43" s="253">
        <v>4</v>
      </c>
      <c r="AJ43" s="253">
        <v>1</v>
      </c>
      <c r="AK43" s="253">
        <v>184</v>
      </c>
      <c r="AL43" s="253">
        <v>1</v>
      </c>
      <c r="AM43" s="245"/>
      <c r="AN43" s="253" t="s">
        <v>614</v>
      </c>
      <c r="AO43" s="253">
        <v>0</v>
      </c>
      <c r="AP43" s="253">
        <v>0</v>
      </c>
      <c r="AQ43" s="253">
        <v>0</v>
      </c>
      <c r="AR43" s="253">
        <v>0</v>
      </c>
      <c r="AS43" s="253">
        <v>1</v>
      </c>
      <c r="AT43" s="245"/>
      <c r="AU43" s="253" t="s">
        <v>614</v>
      </c>
      <c r="AV43" s="253">
        <v>0</v>
      </c>
      <c r="AW43" s="253">
        <v>0</v>
      </c>
      <c r="AX43" s="253">
        <v>0</v>
      </c>
      <c r="AY43" s="253">
        <v>0</v>
      </c>
      <c r="AZ43" s="253">
        <v>1</v>
      </c>
      <c r="BA43" s="245"/>
      <c r="BB43" s="253" t="s">
        <v>610</v>
      </c>
      <c r="BC43" s="253">
        <v>0</v>
      </c>
      <c r="BD43" s="253">
        <v>0</v>
      </c>
      <c r="BE43" s="253">
        <v>0</v>
      </c>
      <c r="BF43" s="253">
        <v>88</v>
      </c>
      <c r="BG43" s="253">
        <v>1</v>
      </c>
      <c r="BH43" s="247" t="s">
        <v>572</v>
      </c>
      <c r="BI43" s="253">
        <v>819362514.73000002</v>
      </c>
      <c r="BJ43" s="253">
        <v>3970</v>
      </c>
      <c r="BK43" s="253">
        <v>219</v>
      </c>
      <c r="BL43" s="253">
        <v>9936</v>
      </c>
      <c r="BM43" s="253">
        <v>1</v>
      </c>
      <c r="BN43" s="253"/>
      <c r="BO43" s="252" t="s">
        <v>488</v>
      </c>
      <c r="BP43" s="264" t="s">
        <v>569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549</v>
      </c>
      <c r="H44" s="223">
        <v>49183.328572409999</v>
      </c>
      <c r="I44" s="164"/>
      <c r="J44" s="157"/>
      <c r="K44" s="228"/>
      <c r="L44" s="228"/>
      <c r="M44" s="228"/>
      <c r="O44" s="241" t="s">
        <v>282</v>
      </c>
      <c r="P44" s="241">
        <v>3996.0885612400002</v>
      </c>
      <c r="Q44" s="239"/>
      <c r="S44" s="245" t="s">
        <v>449</v>
      </c>
      <c r="T44" s="245">
        <v>1069432232.693</v>
      </c>
      <c r="U44" s="245">
        <v>1182098</v>
      </c>
      <c r="V44" s="245">
        <v>186</v>
      </c>
      <c r="W44" s="245">
        <v>12027706</v>
      </c>
      <c r="X44" s="245">
        <v>1</v>
      </c>
      <c r="Y44" s="245"/>
      <c r="Z44" s="253" t="s">
        <v>575</v>
      </c>
      <c r="AA44" s="253">
        <v>0</v>
      </c>
      <c r="AB44" s="253">
        <v>0</v>
      </c>
      <c r="AC44" s="253">
        <v>0</v>
      </c>
      <c r="AD44" s="253">
        <v>0</v>
      </c>
      <c r="AE44" s="253">
        <v>1</v>
      </c>
      <c r="AF44" s="253"/>
      <c r="AG44" s="253" t="s">
        <v>575</v>
      </c>
      <c r="AH44" s="253">
        <v>0</v>
      </c>
      <c r="AI44" s="253">
        <v>0</v>
      </c>
      <c r="AJ44" s="253">
        <v>0</v>
      </c>
      <c r="AK44" s="253">
        <v>0</v>
      </c>
      <c r="AL44" s="253">
        <v>1</v>
      </c>
      <c r="AM44" s="245"/>
      <c r="AN44" s="253" t="s">
        <v>573</v>
      </c>
      <c r="AO44" s="253">
        <v>422011163.61000001</v>
      </c>
      <c r="AP44" s="253">
        <v>5218</v>
      </c>
      <c r="AQ44" s="253">
        <v>100</v>
      </c>
      <c r="AR44" s="253">
        <v>43302</v>
      </c>
      <c r="AS44" s="253">
        <v>1</v>
      </c>
      <c r="AT44" s="245"/>
      <c r="AU44" s="253" t="s">
        <v>573</v>
      </c>
      <c r="AV44" s="253">
        <v>43699097.630000003</v>
      </c>
      <c r="AW44" s="253">
        <v>512</v>
      </c>
      <c r="AX44" s="253">
        <v>18</v>
      </c>
      <c r="AY44" s="253">
        <v>2966</v>
      </c>
      <c r="AZ44" s="253">
        <v>1</v>
      </c>
      <c r="BA44" s="245"/>
      <c r="BB44" s="253" t="s">
        <v>572</v>
      </c>
      <c r="BC44" s="253">
        <v>10120315687.4</v>
      </c>
      <c r="BD44" s="253">
        <v>48093</v>
      </c>
      <c r="BE44" s="253">
        <v>5245</v>
      </c>
      <c r="BF44" s="253">
        <v>225725</v>
      </c>
      <c r="BG44" s="253">
        <v>1</v>
      </c>
      <c r="BH44" s="247" t="s">
        <v>614</v>
      </c>
      <c r="BI44" s="253">
        <v>0</v>
      </c>
      <c r="BJ44" s="253">
        <v>0</v>
      </c>
      <c r="BK44" s="253">
        <v>0</v>
      </c>
      <c r="BL44" s="253">
        <v>0</v>
      </c>
      <c r="BM44" s="253">
        <v>1</v>
      </c>
      <c r="BN44" s="253"/>
      <c r="BO44" s="247"/>
      <c r="BP44" s="263">
        <v>1025641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282</v>
      </c>
      <c r="H45" s="223">
        <v>3461.8854716699998</v>
      </c>
      <c r="I45" s="164"/>
      <c r="J45" s="157"/>
      <c r="K45" s="228"/>
      <c r="L45" s="228"/>
      <c r="M45" s="228"/>
      <c r="O45" s="241" t="s">
        <v>61</v>
      </c>
      <c r="P45" s="241">
        <v>37247.063513059999</v>
      </c>
      <c r="Q45" s="239"/>
      <c r="S45" s="254" t="s">
        <v>450</v>
      </c>
      <c r="T45" s="257">
        <v>279729.71999999997</v>
      </c>
      <c r="U45" s="257">
        <v>950585</v>
      </c>
      <c r="V45" s="257">
        <v>177</v>
      </c>
      <c r="W45" s="257">
        <v>11531907</v>
      </c>
      <c r="X45" s="257">
        <v>1</v>
      </c>
      <c r="Y45" s="245"/>
      <c r="Z45" s="253" t="s">
        <v>576</v>
      </c>
      <c r="AA45" s="253">
        <v>2665125</v>
      </c>
      <c r="AB45" s="253">
        <v>61</v>
      </c>
      <c r="AC45" s="253">
        <v>23</v>
      </c>
      <c r="AD45" s="253">
        <v>1551</v>
      </c>
      <c r="AE45" s="253">
        <v>1</v>
      </c>
      <c r="AF45" s="253"/>
      <c r="AG45" s="253" t="s">
        <v>576</v>
      </c>
      <c r="AH45" s="253">
        <v>0</v>
      </c>
      <c r="AI45" s="253">
        <v>0</v>
      </c>
      <c r="AJ45" s="253">
        <v>0</v>
      </c>
      <c r="AK45" s="253">
        <v>89</v>
      </c>
      <c r="AL45" s="253">
        <v>1</v>
      </c>
      <c r="AM45" s="245"/>
      <c r="AN45" s="253" t="s">
        <v>574</v>
      </c>
      <c r="AO45" s="253">
        <v>2035750</v>
      </c>
      <c r="AP45" s="253">
        <v>35</v>
      </c>
      <c r="AQ45" s="253">
        <v>3</v>
      </c>
      <c r="AR45" s="253">
        <v>586</v>
      </c>
      <c r="AS45" s="253">
        <v>1</v>
      </c>
      <c r="AT45" s="245"/>
      <c r="AU45" s="253" t="s">
        <v>574</v>
      </c>
      <c r="AV45" s="253">
        <v>0</v>
      </c>
      <c r="AW45" s="253">
        <v>0</v>
      </c>
      <c r="AX45" s="253">
        <v>0</v>
      </c>
      <c r="AY45" s="253">
        <v>28</v>
      </c>
      <c r="AZ45" s="253">
        <v>1</v>
      </c>
      <c r="BA45" s="245"/>
      <c r="BB45" s="253" t="s">
        <v>614</v>
      </c>
      <c r="BC45" s="253">
        <v>15960000</v>
      </c>
      <c r="BD45" s="253">
        <v>250</v>
      </c>
      <c r="BE45" s="253">
        <v>1</v>
      </c>
      <c r="BF45" s="253">
        <v>0</v>
      </c>
      <c r="BG45" s="253">
        <v>1</v>
      </c>
      <c r="BH45" s="247" t="s">
        <v>573</v>
      </c>
      <c r="BI45" s="253">
        <v>19686639.949999999</v>
      </c>
      <c r="BJ45" s="253">
        <v>227</v>
      </c>
      <c r="BK45" s="253">
        <v>5</v>
      </c>
      <c r="BL45" s="253">
        <v>2898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61</v>
      </c>
      <c r="H46" s="223">
        <v>36456.567837729999</v>
      </c>
      <c r="I46" s="164"/>
      <c r="J46" s="157"/>
      <c r="K46" s="228"/>
      <c r="L46" s="228"/>
      <c r="M46" s="228"/>
      <c r="O46" s="241" t="s">
        <v>65</v>
      </c>
      <c r="P46" s="241">
        <v>81849.656670650002</v>
      </c>
      <c r="Q46" s="239"/>
      <c r="S46" s="253" t="s">
        <v>447</v>
      </c>
      <c r="T46" s="258">
        <v>12766778916.794001</v>
      </c>
      <c r="U46" s="258">
        <v>563214</v>
      </c>
      <c r="V46" s="258">
        <v>3480</v>
      </c>
      <c r="W46" s="258">
        <v>1211214</v>
      </c>
      <c r="X46" s="258">
        <v>1</v>
      </c>
      <c r="Y46" s="245"/>
      <c r="Z46" s="253" t="s">
        <v>577</v>
      </c>
      <c r="AA46" s="253">
        <v>37011368.75</v>
      </c>
      <c r="AB46" s="253">
        <v>377</v>
      </c>
      <c r="AC46" s="253">
        <v>21</v>
      </c>
      <c r="AD46" s="253">
        <v>3731</v>
      </c>
      <c r="AE46" s="253">
        <v>1</v>
      </c>
      <c r="AF46" s="253"/>
      <c r="AG46" s="253" t="s">
        <v>577</v>
      </c>
      <c r="AH46" s="253">
        <v>0</v>
      </c>
      <c r="AI46" s="253">
        <v>0</v>
      </c>
      <c r="AJ46" s="253">
        <v>0</v>
      </c>
      <c r="AK46" s="253">
        <v>149</v>
      </c>
      <c r="AL46" s="253">
        <v>1</v>
      </c>
      <c r="AM46" s="245"/>
      <c r="AN46" s="253" t="s">
        <v>575</v>
      </c>
      <c r="AO46" s="253">
        <v>1470200.01</v>
      </c>
      <c r="AP46" s="253">
        <v>72</v>
      </c>
      <c r="AQ46" s="253">
        <v>3</v>
      </c>
      <c r="AR46" s="253">
        <v>129</v>
      </c>
      <c r="AS46" s="253">
        <v>1</v>
      </c>
      <c r="AT46" s="245"/>
      <c r="AU46" s="253" t="s">
        <v>575</v>
      </c>
      <c r="AV46" s="253">
        <v>0</v>
      </c>
      <c r="AW46" s="253">
        <v>0</v>
      </c>
      <c r="AX46" s="253">
        <v>0</v>
      </c>
      <c r="AY46" s="253">
        <v>10</v>
      </c>
      <c r="AZ46" s="253">
        <v>1</v>
      </c>
      <c r="BA46" s="245"/>
      <c r="BB46" s="253" t="s">
        <v>573</v>
      </c>
      <c r="BC46" s="253">
        <v>57226905.229999997</v>
      </c>
      <c r="BD46" s="253">
        <v>648</v>
      </c>
      <c r="BE46" s="253">
        <v>26</v>
      </c>
      <c r="BF46" s="253">
        <v>66813</v>
      </c>
      <c r="BG46" s="253">
        <v>1</v>
      </c>
      <c r="BH46" s="247" t="s">
        <v>574</v>
      </c>
      <c r="BI46" s="253">
        <v>928500</v>
      </c>
      <c r="BJ46" s="253">
        <v>15</v>
      </c>
      <c r="BK46" s="253">
        <v>1</v>
      </c>
      <c r="BL46" s="253">
        <v>0</v>
      </c>
      <c r="BM46" s="253">
        <v>1</v>
      </c>
      <c r="BN46" s="253"/>
      <c r="BO46" s="260" t="s">
        <v>489</v>
      </c>
      <c r="BP46" s="264" t="s">
        <v>569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65</v>
      </c>
      <c r="H47" s="223">
        <v>62089.70162321</v>
      </c>
      <c r="I47" s="164"/>
      <c r="J47" s="159"/>
      <c r="K47" s="228"/>
      <c r="L47" s="228"/>
      <c r="M47" s="228"/>
      <c r="O47" s="241" t="s">
        <v>67</v>
      </c>
      <c r="P47" s="241">
        <v>15423.4513668</v>
      </c>
      <c r="Q47" s="239"/>
      <c r="S47" s="253"/>
      <c r="T47" s="258"/>
      <c r="U47" s="258"/>
      <c r="V47" s="258"/>
      <c r="W47" s="258"/>
      <c r="X47" s="258"/>
      <c r="Y47" s="245"/>
      <c r="Z47" s="253" t="s">
        <v>578</v>
      </c>
      <c r="AA47" s="253">
        <v>0</v>
      </c>
      <c r="AB47" s="253">
        <v>0</v>
      </c>
      <c r="AC47" s="253">
        <v>0</v>
      </c>
      <c r="AD47" s="253">
        <v>0</v>
      </c>
      <c r="AE47" s="253">
        <v>1</v>
      </c>
      <c r="AF47" s="253"/>
      <c r="AG47" s="253" t="s">
        <v>578</v>
      </c>
      <c r="AH47" s="253">
        <v>0</v>
      </c>
      <c r="AI47" s="253">
        <v>0</v>
      </c>
      <c r="AJ47" s="253">
        <v>0</v>
      </c>
      <c r="AK47" s="253">
        <v>0</v>
      </c>
      <c r="AL47" s="253">
        <v>1</v>
      </c>
      <c r="AM47" s="245"/>
      <c r="AN47" s="253" t="s">
        <v>576</v>
      </c>
      <c r="AO47" s="253">
        <v>2147325</v>
      </c>
      <c r="AP47" s="253">
        <v>45</v>
      </c>
      <c r="AQ47" s="253">
        <v>8</v>
      </c>
      <c r="AR47" s="253">
        <v>1721</v>
      </c>
      <c r="AS47" s="253">
        <v>1</v>
      </c>
      <c r="AT47" s="245"/>
      <c r="AU47" s="253" t="s">
        <v>576</v>
      </c>
      <c r="AV47" s="253">
        <v>0</v>
      </c>
      <c r="AW47" s="253">
        <v>0</v>
      </c>
      <c r="AX47" s="253">
        <v>0</v>
      </c>
      <c r="AY47" s="253">
        <v>73</v>
      </c>
      <c r="AZ47" s="253">
        <v>1</v>
      </c>
      <c r="BA47" s="245"/>
      <c r="BB47" s="253" t="s">
        <v>574</v>
      </c>
      <c r="BC47" s="253">
        <v>2979710</v>
      </c>
      <c r="BD47" s="253">
        <v>48</v>
      </c>
      <c r="BE47" s="253">
        <v>5</v>
      </c>
      <c r="BF47" s="253">
        <v>439</v>
      </c>
      <c r="BG47" s="253">
        <v>1</v>
      </c>
      <c r="BH47" s="247" t="s">
        <v>575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84661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67</v>
      </c>
      <c r="H48" s="223">
        <v>16201.780421400001</v>
      </c>
      <c r="I48" s="164"/>
      <c r="J48" s="159"/>
      <c r="K48" s="228"/>
      <c r="L48" s="228"/>
      <c r="M48" s="228"/>
      <c r="O48" s="241" t="s">
        <v>69</v>
      </c>
      <c r="P48" s="241">
        <v>83437.390650419999</v>
      </c>
      <c r="Q48" s="239"/>
      <c r="S48" s="253"/>
      <c r="T48" s="258"/>
      <c r="U48" s="258"/>
      <c r="V48" s="258"/>
      <c r="W48" s="258"/>
      <c r="X48" s="258"/>
      <c r="Y48" s="245"/>
      <c r="Z48" s="253" t="s">
        <v>579</v>
      </c>
      <c r="AA48" s="253">
        <v>4864242150.8199997</v>
      </c>
      <c r="AB48" s="253">
        <v>23064</v>
      </c>
      <c r="AC48" s="253">
        <v>1345</v>
      </c>
      <c r="AD48" s="253">
        <v>387740</v>
      </c>
      <c r="AE48" s="253">
        <v>1</v>
      </c>
      <c r="AF48" s="253"/>
      <c r="AG48" s="253" t="s">
        <v>579</v>
      </c>
      <c r="AH48" s="253">
        <v>176137267.33000001</v>
      </c>
      <c r="AI48" s="253">
        <v>853</v>
      </c>
      <c r="AJ48" s="253">
        <v>39</v>
      </c>
      <c r="AK48" s="253">
        <v>16121</v>
      </c>
      <c r="AL48" s="253">
        <v>1</v>
      </c>
      <c r="AM48" s="245"/>
      <c r="AN48" s="253" t="s">
        <v>577</v>
      </c>
      <c r="AO48" s="253">
        <v>2215000</v>
      </c>
      <c r="AP48" s="253">
        <v>20</v>
      </c>
      <c r="AQ48" s="253">
        <v>1</v>
      </c>
      <c r="AR48" s="253">
        <v>6886</v>
      </c>
      <c r="AS48" s="253">
        <v>1</v>
      </c>
      <c r="AT48" s="245"/>
      <c r="AU48" s="253" t="s">
        <v>577</v>
      </c>
      <c r="AV48" s="253">
        <v>2215000</v>
      </c>
      <c r="AW48" s="253">
        <v>20</v>
      </c>
      <c r="AX48" s="253">
        <v>1</v>
      </c>
      <c r="AY48" s="253">
        <v>313</v>
      </c>
      <c r="AZ48" s="253">
        <v>1</v>
      </c>
      <c r="BA48" s="245"/>
      <c r="BB48" s="253" t="s">
        <v>575</v>
      </c>
      <c r="BC48" s="253">
        <v>209000</v>
      </c>
      <c r="BD48" s="253">
        <v>10</v>
      </c>
      <c r="BE48" s="253">
        <v>1</v>
      </c>
      <c r="BF48" s="253">
        <v>180</v>
      </c>
      <c r="BG48" s="253">
        <v>1</v>
      </c>
      <c r="BH48" s="247" t="s">
        <v>576</v>
      </c>
      <c r="BI48" s="253">
        <v>247537.5</v>
      </c>
      <c r="BJ48" s="253">
        <v>5</v>
      </c>
      <c r="BK48" s="253">
        <v>1</v>
      </c>
      <c r="BL48" s="253">
        <v>25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69</v>
      </c>
      <c r="H49" s="223">
        <v>68241.095385029999</v>
      </c>
      <c r="I49" s="164"/>
      <c r="J49" s="159"/>
      <c r="K49" s="228"/>
      <c r="L49" s="228"/>
      <c r="M49" s="228"/>
      <c r="O49" s="241" t="s">
        <v>115</v>
      </c>
      <c r="P49" s="241">
        <v>1182.6942294600001</v>
      </c>
      <c r="Q49" s="239"/>
      <c r="S49" s="253"/>
      <c r="T49" s="258"/>
      <c r="U49" s="258"/>
      <c r="V49" s="258"/>
      <c r="W49" s="258"/>
      <c r="X49" s="258"/>
      <c r="Y49" s="245"/>
      <c r="Z49" s="253" t="s">
        <v>580</v>
      </c>
      <c r="AA49" s="253">
        <v>80487491.900000006</v>
      </c>
      <c r="AB49" s="253">
        <v>4304</v>
      </c>
      <c r="AC49" s="253">
        <v>164</v>
      </c>
      <c r="AD49" s="253">
        <v>45284</v>
      </c>
      <c r="AE49" s="253">
        <v>1</v>
      </c>
      <c r="AF49" s="253"/>
      <c r="AG49" s="253" t="s">
        <v>580</v>
      </c>
      <c r="AH49" s="253">
        <v>0</v>
      </c>
      <c r="AI49" s="253">
        <v>0</v>
      </c>
      <c r="AJ49" s="253">
        <v>0</v>
      </c>
      <c r="AK49" s="253">
        <v>1940</v>
      </c>
      <c r="AL49" s="253">
        <v>1</v>
      </c>
      <c r="AM49" s="245"/>
      <c r="AN49" s="253" t="s">
        <v>578</v>
      </c>
      <c r="AO49" s="253">
        <v>471675</v>
      </c>
      <c r="AP49" s="253">
        <v>6</v>
      </c>
      <c r="AQ49" s="253">
        <v>1</v>
      </c>
      <c r="AR49" s="253">
        <v>84</v>
      </c>
      <c r="AS49" s="253">
        <v>1</v>
      </c>
      <c r="AT49" s="245"/>
      <c r="AU49" s="253" t="s">
        <v>578</v>
      </c>
      <c r="AV49" s="253">
        <v>0</v>
      </c>
      <c r="AW49" s="253">
        <v>0</v>
      </c>
      <c r="AX49" s="253">
        <v>0</v>
      </c>
      <c r="AY49" s="253">
        <v>6</v>
      </c>
      <c r="AZ49" s="253">
        <v>1</v>
      </c>
      <c r="BA49" s="245"/>
      <c r="BB49" s="253" t="s">
        <v>576</v>
      </c>
      <c r="BC49" s="253">
        <v>3488684.25</v>
      </c>
      <c r="BD49" s="253">
        <v>72</v>
      </c>
      <c r="BE49" s="253">
        <v>12</v>
      </c>
      <c r="BF49" s="253">
        <v>1123</v>
      </c>
      <c r="BG49" s="253">
        <v>1</v>
      </c>
      <c r="BH49" s="247" t="s">
        <v>577</v>
      </c>
      <c r="BI49" s="253">
        <v>0</v>
      </c>
      <c r="BJ49" s="253">
        <v>0</v>
      </c>
      <c r="BK49" s="253">
        <v>0</v>
      </c>
      <c r="BL49" s="253">
        <v>413</v>
      </c>
      <c r="BM49" s="253">
        <v>1</v>
      </c>
      <c r="BN49" s="253"/>
      <c r="BO49" s="256" t="s">
        <v>491</v>
      </c>
      <c r="BP49" s="264" t="s">
        <v>539</v>
      </c>
      <c r="BQ49" s="264" t="s">
        <v>567</v>
      </c>
      <c r="BR49" s="264" t="s">
        <v>568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115</v>
      </c>
      <c r="H50" s="223">
        <v>988.67880700000001</v>
      </c>
      <c r="I50" s="164"/>
      <c r="J50" s="159"/>
      <c r="K50" s="228"/>
      <c r="L50" s="228"/>
      <c r="M50" s="228"/>
      <c r="O50" s="241" t="s">
        <v>283</v>
      </c>
      <c r="P50" s="241">
        <v>391.22878906</v>
      </c>
      <c r="Q50" s="239"/>
      <c r="R50" s="153" t="s">
        <v>455</v>
      </c>
      <c r="S50" s="253" t="s">
        <v>565</v>
      </c>
      <c r="T50" s="258" t="s">
        <v>566</v>
      </c>
      <c r="U50" s="258" t="s">
        <v>567</v>
      </c>
      <c r="V50" s="258" t="s">
        <v>568</v>
      </c>
      <c r="W50" s="258" t="s">
        <v>569</v>
      </c>
      <c r="X50" s="258" t="s">
        <v>570</v>
      </c>
      <c r="Y50" s="245"/>
      <c r="Z50" s="253" t="s">
        <v>581</v>
      </c>
      <c r="AA50" s="253">
        <v>20542890.5</v>
      </c>
      <c r="AB50" s="253">
        <v>526</v>
      </c>
      <c r="AC50" s="253">
        <v>71</v>
      </c>
      <c r="AD50" s="253">
        <v>3223</v>
      </c>
      <c r="AE50" s="253">
        <v>1</v>
      </c>
      <c r="AF50" s="253"/>
      <c r="AG50" s="253" t="s">
        <v>581</v>
      </c>
      <c r="AH50" s="253">
        <v>0</v>
      </c>
      <c r="AI50" s="253">
        <v>0</v>
      </c>
      <c r="AJ50" s="253">
        <v>0</v>
      </c>
      <c r="AK50" s="253">
        <v>476</v>
      </c>
      <c r="AL50" s="253">
        <v>1</v>
      </c>
      <c r="AM50" s="245"/>
      <c r="AN50" s="253" t="s">
        <v>579</v>
      </c>
      <c r="AO50" s="253">
        <v>2094453178.47</v>
      </c>
      <c r="AP50" s="253">
        <v>10163</v>
      </c>
      <c r="AQ50" s="253">
        <v>748</v>
      </c>
      <c r="AR50" s="253">
        <v>433774</v>
      </c>
      <c r="AS50" s="253">
        <v>1</v>
      </c>
      <c r="AT50" s="245"/>
      <c r="AU50" s="253" t="s">
        <v>579</v>
      </c>
      <c r="AV50" s="253">
        <v>45155559.210000001</v>
      </c>
      <c r="AW50" s="253">
        <v>217</v>
      </c>
      <c r="AX50" s="253">
        <v>24</v>
      </c>
      <c r="AY50" s="253">
        <v>20228</v>
      </c>
      <c r="AZ50" s="253">
        <v>1</v>
      </c>
      <c r="BA50" s="245"/>
      <c r="BB50" s="253" t="s">
        <v>577</v>
      </c>
      <c r="BC50" s="253">
        <v>66592385</v>
      </c>
      <c r="BD50" s="253">
        <v>590</v>
      </c>
      <c r="BE50" s="253">
        <v>11</v>
      </c>
      <c r="BF50" s="253">
        <v>8152</v>
      </c>
      <c r="BG50" s="253">
        <v>1</v>
      </c>
      <c r="BH50" s="247" t="s">
        <v>578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29892128245.900002</v>
      </c>
      <c r="BQ50" s="263">
        <v>2077176</v>
      </c>
      <c r="BR50" s="263">
        <v>4561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283</v>
      </c>
      <c r="H51" s="223">
        <v>290.23866104000001</v>
      </c>
      <c r="I51" s="164"/>
      <c r="J51" s="157"/>
      <c r="K51" s="228"/>
      <c r="L51" s="228"/>
      <c r="M51" s="228"/>
      <c r="O51" s="241" t="s">
        <v>284</v>
      </c>
      <c r="P51" s="241">
        <v>22.546053560000001</v>
      </c>
      <c r="Q51" s="239"/>
      <c r="S51" s="253" t="s">
        <v>451</v>
      </c>
      <c r="T51" s="258">
        <v>19221836.920000002</v>
      </c>
      <c r="U51" s="258">
        <v>33017</v>
      </c>
      <c r="V51" s="258">
        <v>10</v>
      </c>
      <c r="W51" s="258">
        <v>318663</v>
      </c>
      <c r="X51" s="258">
        <v>0</v>
      </c>
      <c r="Y51" s="245"/>
      <c r="Z51" s="253" t="s">
        <v>582</v>
      </c>
      <c r="AA51" s="253">
        <v>2174620</v>
      </c>
      <c r="AB51" s="253">
        <v>28</v>
      </c>
      <c r="AC51" s="253">
        <v>15</v>
      </c>
      <c r="AD51" s="253">
        <v>232</v>
      </c>
      <c r="AE51" s="253">
        <v>1</v>
      </c>
      <c r="AF51" s="253"/>
      <c r="AG51" s="253" t="s">
        <v>582</v>
      </c>
      <c r="AH51" s="253">
        <v>0</v>
      </c>
      <c r="AI51" s="253">
        <v>0</v>
      </c>
      <c r="AJ51" s="253">
        <v>0</v>
      </c>
      <c r="AK51" s="253">
        <v>27</v>
      </c>
      <c r="AL51" s="253">
        <v>1</v>
      </c>
      <c r="AM51" s="245"/>
      <c r="AN51" s="253" t="s">
        <v>580</v>
      </c>
      <c r="AO51" s="253">
        <v>31267948.850000001</v>
      </c>
      <c r="AP51" s="253">
        <v>1770</v>
      </c>
      <c r="AQ51" s="253">
        <v>36</v>
      </c>
      <c r="AR51" s="253">
        <v>55179</v>
      </c>
      <c r="AS51" s="253">
        <v>1</v>
      </c>
      <c r="AT51" s="245"/>
      <c r="AU51" s="253" t="s">
        <v>580</v>
      </c>
      <c r="AV51" s="253">
        <v>0</v>
      </c>
      <c r="AW51" s="253">
        <v>0</v>
      </c>
      <c r="AX51" s="253">
        <v>0</v>
      </c>
      <c r="AY51" s="253">
        <v>2265</v>
      </c>
      <c r="AZ51" s="253">
        <v>1</v>
      </c>
      <c r="BA51" s="245"/>
      <c r="BB51" s="253" t="s">
        <v>578</v>
      </c>
      <c r="BC51" s="253">
        <v>472200</v>
      </c>
      <c r="BD51" s="253">
        <v>6</v>
      </c>
      <c r="BE51" s="253">
        <v>1</v>
      </c>
      <c r="BF51" s="253">
        <v>108</v>
      </c>
      <c r="BG51" s="253">
        <v>1</v>
      </c>
      <c r="BH51" s="247" t="s">
        <v>579</v>
      </c>
      <c r="BI51" s="253">
        <v>58970852.030000001</v>
      </c>
      <c r="BJ51" s="253">
        <v>286</v>
      </c>
      <c r="BK51" s="253">
        <v>36</v>
      </c>
      <c r="BL51" s="253">
        <v>18999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284</v>
      </c>
      <c r="H52" s="223">
        <v>19.373253720000001</v>
      </c>
      <c r="I52" s="164"/>
      <c r="J52" s="157"/>
      <c r="K52" s="228"/>
      <c r="L52" s="228"/>
      <c r="M52" s="228"/>
      <c r="O52" s="241" t="s">
        <v>285</v>
      </c>
      <c r="P52" s="241">
        <v>366.75347362999997</v>
      </c>
      <c r="Q52" s="239"/>
      <c r="S52" s="253" t="s">
        <v>448</v>
      </c>
      <c r="T52" s="258">
        <v>0</v>
      </c>
      <c r="U52" s="258">
        <v>0</v>
      </c>
      <c r="V52" s="258">
        <v>0</v>
      </c>
      <c r="W52" s="258">
        <v>0</v>
      </c>
      <c r="X52" s="258">
        <v>0</v>
      </c>
      <c r="Y52" s="245"/>
      <c r="Z52" s="253" t="s">
        <v>583</v>
      </c>
      <c r="AA52" s="253">
        <v>46608865.799999997</v>
      </c>
      <c r="AB52" s="253">
        <v>1230</v>
      </c>
      <c r="AC52" s="253">
        <v>16</v>
      </c>
      <c r="AD52" s="253">
        <v>11103</v>
      </c>
      <c r="AE52" s="253">
        <v>1</v>
      </c>
      <c r="AF52" s="253"/>
      <c r="AG52" s="253" t="s">
        <v>583</v>
      </c>
      <c r="AH52" s="253">
        <v>0</v>
      </c>
      <c r="AI52" s="253">
        <v>0</v>
      </c>
      <c r="AJ52" s="253">
        <v>0</v>
      </c>
      <c r="AK52" s="253">
        <v>2</v>
      </c>
      <c r="AL52" s="253">
        <v>1</v>
      </c>
      <c r="AM52" s="245"/>
      <c r="AN52" s="253" t="s">
        <v>581</v>
      </c>
      <c r="AO52" s="253">
        <v>340000</v>
      </c>
      <c r="AP52" s="253">
        <v>10</v>
      </c>
      <c r="AQ52" s="253">
        <v>1</v>
      </c>
      <c r="AR52" s="253">
        <v>90</v>
      </c>
      <c r="AS52" s="253">
        <v>1</v>
      </c>
      <c r="AT52" s="245"/>
      <c r="AU52" s="253" t="s">
        <v>581</v>
      </c>
      <c r="AV52" s="253">
        <v>0</v>
      </c>
      <c r="AW52" s="253">
        <v>0</v>
      </c>
      <c r="AX52" s="253">
        <v>0</v>
      </c>
      <c r="AY52" s="253">
        <v>0</v>
      </c>
      <c r="AZ52" s="253">
        <v>1</v>
      </c>
      <c r="BA52" s="245"/>
      <c r="BB52" s="253" t="s">
        <v>579</v>
      </c>
      <c r="BC52" s="253">
        <v>4498448332.5100002</v>
      </c>
      <c r="BD52" s="253">
        <v>21977</v>
      </c>
      <c r="BE52" s="253">
        <v>1169</v>
      </c>
      <c r="BF52" s="253">
        <v>419877</v>
      </c>
      <c r="BG52" s="253">
        <v>1</v>
      </c>
      <c r="BH52" s="247" t="s">
        <v>580</v>
      </c>
      <c r="BI52" s="253">
        <v>176625</v>
      </c>
      <c r="BJ52" s="253">
        <v>10</v>
      </c>
      <c r="BK52" s="253">
        <v>1</v>
      </c>
      <c r="BL52" s="253">
        <v>798</v>
      </c>
      <c r="BM52" s="253">
        <v>1</v>
      </c>
      <c r="BN52" s="253"/>
      <c r="BO52" s="259" t="s">
        <v>492</v>
      </c>
      <c r="BP52" s="264" t="s">
        <v>539</v>
      </c>
      <c r="BQ52" s="264" t="s">
        <v>567</v>
      </c>
      <c r="BR52" s="264" t="s">
        <v>568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285</v>
      </c>
      <c r="H53" s="223">
        <v>359.39286767999999</v>
      </c>
      <c r="I53" s="164"/>
      <c r="J53" s="157"/>
      <c r="K53" s="228"/>
      <c r="L53" s="228"/>
      <c r="M53" s="228"/>
      <c r="O53" s="241" t="s">
        <v>286</v>
      </c>
      <c r="P53" s="241">
        <v>270.89462634</v>
      </c>
      <c r="Q53" s="239"/>
      <c r="S53" s="253" t="s">
        <v>446</v>
      </c>
      <c r="T53" s="258">
        <v>3728663.25</v>
      </c>
      <c r="U53" s="258">
        <v>679</v>
      </c>
      <c r="V53" s="258">
        <v>3</v>
      </c>
      <c r="W53" s="258">
        <v>1076998</v>
      </c>
      <c r="X53" s="258">
        <v>0</v>
      </c>
      <c r="Y53" s="245"/>
      <c r="Z53" s="253" t="s">
        <v>584</v>
      </c>
      <c r="AA53" s="253">
        <v>0</v>
      </c>
      <c r="AB53" s="253">
        <v>0</v>
      </c>
      <c r="AC53" s="253">
        <v>0</v>
      </c>
      <c r="AD53" s="253">
        <v>0</v>
      </c>
      <c r="AE53" s="253">
        <v>1</v>
      </c>
      <c r="AF53" s="253"/>
      <c r="AG53" s="253" t="s">
        <v>584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582</v>
      </c>
      <c r="AO53" s="253">
        <v>573000</v>
      </c>
      <c r="AP53" s="253">
        <v>8</v>
      </c>
      <c r="AQ53" s="253">
        <v>3</v>
      </c>
      <c r="AR53" s="253">
        <v>112</v>
      </c>
      <c r="AS53" s="253">
        <v>1</v>
      </c>
      <c r="AT53" s="245"/>
      <c r="AU53" s="253" t="s">
        <v>582</v>
      </c>
      <c r="AV53" s="253">
        <v>0</v>
      </c>
      <c r="AW53" s="253">
        <v>0</v>
      </c>
      <c r="AX53" s="253">
        <v>0</v>
      </c>
      <c r="AY53" s="253">
        <v>4</v>
      </c>
      <c r="AZ53" s="253">
        <v>1</v>
      </c>
      <c r="BA53" s="245"/>
      <c r="BB53" s="253" t="s">
        <v>580</v>
      </c>
      <c r="BC53" s="253">
        <v>46234375.200000003</v>
      </c>
      <c r="BD53" s="253">
        <v>2665</v>
      </c>
      <c r="BE53" s="253">
        <v>49</v>
      </c>
      <c r="BF53" s="253">
        <v>22870</v>
      </c>
      <c r="BG53" s="253">
        <v>1</v>
      </c>
      <c r="BH53" s="247" t="s">
        <v>581</v>
      </c>
      <c r="BI53" s="253">
        <v>0</v>
      </c>
      <c r="BJ53" s="253">
        <v>0</v>
      </c>
      <c r="BK53" s="253">
        <v>0</v>
      </c>
      <c r="BL53" s="253">
        <v>0</v>
      </c>
      <c r="BM53" s="253">
        <v>1</v>
      </c>
      <c r="BN53" s="253"/>
      <c r="BO53" s="251"/>
      <c r="BP53" s="263">
        <v>29836162393.5</v>
      </c>
      <c r="BQ53" s="263">
        <v>2093990</v>
      </c>
      <c r="BR53" s="263">
        <v>263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286</v>
      </c>
      <c r="H54" s="223">
        <v>246.23611176</v>
      </c>
      <c r="I54" s="164"/>
      <c r="J54" s="157"/>
      <c r="K54" s="228"/>
      <c r="L54" s="228"/>
      <c r="M54" s="228"/>
      <c r="O54" s="241" t="s">
        <v>287</v>
      </c>
      <c r="P54" s="241">
        <v>213.80273879999999</v>
      </c>
      <c r="Q54" s="239"/>
      <c r="S54" s="253" t="s">
        <v>449</v>
      </c>
      <c r="T54" s="258">
        <v>0</v>
      </c>
      <c r="U54" s="258">
        <v>0</v>
      </c>
      <c r="V54" s="258">
        <v>0</v>
      </c>
      <c r="W54" s="258">
        <v>0</v>
      </c>
      <c r="X54" s="258">
        <v>0</v>
      </c>
      <c r="Y54" s="245"/>
      <c r="Z54" s="253" t="s">
        <v>585</v>
      </c>
      <c r="AA54" s="253">
        <v>172178770.26100001</v>
      </c>
      <c r="AB54" s="253">
        <v>992</v>
      </c>
      <c r="AC54" s="253">
        <v>35</v>
      </c>
      <c r="AD54" s="253">
        <v>11599</v>
      </c>
      <c r="AE54" s="253">
        <v>1</v>
      </c>
      <c r="AF54" s="253"/>
      <c r="AG54" s="253" t="s">
        <v>585</v>
      </c>
      <c r="AH54" s="253">
        <v>0</v>
      </c>
      <c r="AI54" s="253">
        <v>0</v>
      </c>
      <c r="AJ54" s="253">
        <v>0</v>
      </c>
      <c r="AK54" s="253">
        <v>362</v>
      </c>
      <c r="AL54" s="253">
        <v>1</v>
      </c>
      <c r="AM54" s="245"/>
      <c r="AN54" s="253" t="s">
        <v>583</v>
      </c>
      <c r="AO54" s="253">
        <v>140488187.34999999</v>
      </c>
      <c r="AP54" s="253">
        <v>4632</v>
      </c>
      <c r="AQ54" s="253">
        <v>6</v>
      </c>
      <c r="AR54" s="253">
        <v>50052</v>
      </c>
      <c r="AS54" s="253">
        <v>1</v>
      </c>
      <c r="AT54" s="245"/>
      <c r="AU54" s="253" t="s">
        <v>583</v>
      </c>
      <c r="AV54" s="253">
        <v>2967556.5</v>
      </c>
      <c r="AW54" s="253">
        <v>90</v>
      </c>
      <c r="AX54" s="253">
        <v>1</v>
      </c>
      <c r="AY54" s="253">
        <v>2361</v>
      </c>
      <c r="AZ54" s="253">
        <v>1</v>
      </c>
      <c r="BA54" s="245"/>
      <c r="BB54" s="253" t="s">
        <v>581</v>
      </c>
      <c r="BC54" s="253">
        <v>0</v>
      </c>
      <c r="BD54" s="253">
        <v>0</v>
      </c>
      <c r="BE54" s="253">
        <v>0</v>
      </c>
      <c r="BF54" s="253">
        <v>0</v>
      </c>
      <c r="BG54" s="253">
        <v>1</v>
      </c>
      <c r="BH54" s="247" t="s">
        <v>582</v>
      </c>
      <c r="BI54" s="253">
        <v>0</v>
      </c>
      <c r="BJ54" s="253">
        <v>0</v>
      </c>
      <c r="BK54" s="253">
        <v>0</v>
      </c>
      <c r="BL54" s="253">
        <v>6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287</v>
      </c>
      <c r="H55" s="223">
        <v>199.82104828999999</v>
      </c>
      <c r="I55" s="164"/>
      <c r="J55" s="157"/>
      <c r="K55" s="228"/>
      <c r="L55" s="228"/>
      <c r="M55" s="228"/>
      <c r="O55" s="241" t="s">
        <v>288</v>
      </c>
      <c r="P55" s="241">
        <v>472.29321517</v>
      </c>
      <c r="Q55" s="239"/>
      <c r="S55" s="253" t="s">
        <v>447</v>
      </c>
      <c r="T55" s="258">
        <v>183692478.03</v>
      </c>
      <c r="U55" s="258">
        <v>12850</v>
      </c>
      <c r="V55" s="258">
        <v>19</v>
      </c>
      <c r="W55" s="258">
        <v>2073130</v>
      </c>
      <c r="X55" s="258">
        <v>0</v>
      </c>
      <c r="Y55" s="245"/>
      <c r="Z55" s="253" t="s">
        <v>586</v>
      </c>
      <c r="AA55" s="253">
        <v>6847120</v>
      </c>
      <c r="AB55" s="253">
        <v>56</v>
      </c>
      <c r="AC55" s="253">
        <v>4</v>
      </c>
      <c r="AD55" s="253">
        <v>588</v>
      </c>
      <c r="AE55" s="253">
        <v>1</v>
      </c>
      <c r="AF55" s="253"/>
      <c r="AG55" s="253" t="s">
        <v>586</v>
      </c>
      <c r="AH55" s="253">
        <v>0</v>
      </c>
      <c r="AI55" s="253">
        <v>0</v>
      </c>
      <c r="AJ55" s="253">
        <v>0</v>
      </c>
      <c r="AK55" s="253">
        <v>26</v>
      </c>
      <c r="AL55" s="253">
        <v>1</v>
      </c>
      <c r="AM55" s="245"/>
      <c r="AN55" s="253" t="s">
        <v>615</v>
      </c>
      <c r="AO55" s="253">
        <v>0</v>
      </c>
      <c r="AP55" s="253">
        <v>0</v>
      </c>
      <c r="AQ55" s="253">
        <v>0</v>
      </c>
      <c r="AR55" s="253">
        <v>0</v>
      </c>
      <c r="AS55" s="253">
        <v>1</v>
      </c>
      <c r="AT55" s="245"/>
      <c r="AU55" s="253" t="s">
        <v>615</v>
      </c>
      <c r="AV55" s="253">
        <v>0</v>
      </c>
      <c r="AW55" s="253">
        <v>0</v>
      </c>
      <c r="AX55" s="253">
        <v>0</v>
      </c>
      <c r="AY55" s="253">
        <v>0</v>
      </c>
      <c r="AZ55" s="253">
        <v>1</v>
      </c>
      <c r="BA55" s="245"/>
      <c r="BB55" s="253" t="s">
        <v>582</v>
      </c>
      <c r="BC55" s="253">
        <v>827900</v>
      </c>
      <c r="BD55" s="253">
        <v>10</v>
      </c>
      <c r="BE55" s="253">
        <v>3</v>
      </c>
      <c r="BF55" s="253">
        <v>118</v>
      </c>
      <c r="BG55" s="253">
        <v>1</v>
      </c>
      <c r="BH55" s="247" t="s">
        <v>583</v>
      </c>
      <c r="BI55" s="253">
        <v>0</v>
      </c>
      <c r="BJ55" s="253">
        <v>0</v>
      </c>
      <c r="BK55" s="253">
        <v>0</v>
      </c>
      <c r="BL55" s="253">
        <v>2357</v>
      </c>
      <c r="BM55" s="253">
        <v>1</v>
      </c>
      <c r="BN55" s="253"/>
      <c r="BO55" s="256" t="s">
        <v>493</v>
      </c>
      <c r="BP55" s="264" t="s">
        <v>621</v>
      </c>
      <c r="BQ55" s="264" t="s">
        <v>569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288</v>
      </c>
      <c r="H56" s="223">
        <v>475.00814102999999</v>
      </c>
      <c r="I56" s="164"/>
      <c r="J56" s="157"/>
      <c r="K56" s="228"/>
      <c r="L56" s="228"/>
      <c r="M56" s="228"/>
      <c r="O56" s="241" t="s">
        <v>289</v>
      </c>
      <c r="P56" s="241">
        <v>8591.8043031699999</v>
      </c>
      <c r="Q56" s="239"/>
      <c r="S56" s="253" t="s">
        <v>571</v>
      </c>
      <c r="T56" s="258">
        <v>0</v>
      </c>
      <c r="U56" s="258">
        <v>0</v>
      </c>
      <c r="V56" s="258">
        <v>0</v>
      </c>
      <c r="W56" s="258">
        <v>0</v>
      </c>
      <c r="X56" s="258">
        <v>1</v>
      </c>
      <c r="Y56" s="245"/>
      <c r="Z56" s="253" t="s">
        <v>587</v>
      </c>
      <c r="AA56" s="253">
        <v>26289529.91</v>
      </c>
      <c r="AB56" s="253">
        <v>209</v>
      </c>
      <c r="AC56" s="253">
        <v>11</v>
      </c>
      <c r="AD56" s="253">
        <v>3096</v>
      </c>
      <c r="AE56" s="253">
        <v>1</v>
      </c>
      <c r="AF56" s="253"/>
      <c r="AG56" s="253" t="s">
        <v>587</v>
      </c>
      <c r="AH56" s="253">
        <v>631900</v>
      </c>
      <c r="AI56" s="253">
        <v>5</v>
      </c>
      <c r="AJ56" s="253">
        <v>1</v>
      </c>
      <c r="AK56" s="253">
        <v>214</v>
      </c>
      <c r="AL56" s="253">
        <v>1</v>
      </c>
      <c r="AM56" s="245"/>
      <c r="AN56" s="253" t="s">
        <v>584</v>
      </c>
      <c r="AO56" s="253">
        <v>2464557.9</v>
      </c>
      <c r="AP56" s="253">
        <v>35</v>
      </c>
      <c r="AQ56" s="253">
        <v>1</v>
      </c>
      <c r="AR56" s="253">
        <v>105</v>
      </c>
      <c r="AS56" s="253">
        <v>1</v>
      </c>
      <c r="AT56" s="245"/>
      <c r="AU56" s="253" t="s">
        <v>584</v>
      </c>
      <c r="AV56" s="253">
        <v>0</v>
      </c>
      <c r="AW56" s="253">
        <v>0</v>
      </c>
      <c r="AX56" s="253">
        <v>0</v>
      </c>
      <c r="AY56" s="253">
        <v>35</v>
      </c>
      <c r="AZ56" s="253">
        <v>1</v>
      </c>
      <c r="BA56" s="245"/>
      <c r="BB56" s="253" t="s">
        <v>583</v>
      </c>
      <c r="BC56" s="253">
        <v>122204</v>
      </c>
      <c r="BD56" s="253">
        <v>4</v>
      </c>
      <c r="BE56" s="253">
        <v>1</v>
      </c>
      <c r="BF56" s="253">
        <v>51854</v>
      </c>
      <c r="BG56" s="253">
        <v>1</v>
      </c>
      <c r="BH56" s="247" t="s">
        <v>615</v>
      </c>
      <c r="BI56" s="253">
        <v>0</v>
      </c>
      <c r="BJ56" s="253">
        <v>0</v>
      </c>
      <c r="BK56" s="253">
        <v>0</v>
      </c>
      <c r="BL56" s="253">
        <v>0</v>
      </c>
      <c r="BM56" s="253">
        <v>1</v>
      </c>
      <c r="BN56" s="253"/>
      <c r="BO56" s="247"/>
      <c r="BP56" s="263" t="s">
        <v>622</v>
      </c>
      <c r="BQ56" s="263">
        <v>8830916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289</v>
      </c>
      <c r="H57" s="223">
        <v>7129.1370674700001</v>
      </c>
      <c r="I57" s="164"/>
      <c r="J57" s="157"/>
      <c r="K57" s="228"/>
      <c r="L57" s="228"/>
      <c r="M57" s="228"/>
      <c r="O57" s="241" t="s">
        <v>290</v>
      </c>
      <c r="P57" s="241">
        <v>850.48650082999995</v>
      </c>
      <c r="Q57" s="239"/>
      <c r="S57" s="253" t="s">
        <v>451</v>
      </c>
      <c r="T57" s="258">
        <v>518339222.92400002</v>
      </c>
      <c r="U57" s="258">
        <v>32746</v>
      </c>
      <c r="V57" s="258">
        <v>99</v>
      </c>
      <c r="W57" s="258">
        <v>472686</v>
      </c>
      <c r="X57" s="258">
        <v>1</v>
      </c>
      <c r="Y57" s="245"/>
      <c r="Z57" s="253" t="s">
        <v>588</v>
      </c>
      <c r="AA57" s="253">
        <v>0</v>
      </c>
      <c r="AB57" s="253">
        <v>0</v>
      </c>
      <c r="AC57" s="253">
        <v>0</v>
      </c>
      <c r="AD57" s="253">
        <v>0</v>
      </c>
      <c r="AE57" s="253">
        <v>1</v>
      </c>
      <c r="AF57" s="253"/>
      <c r="AG57" s="253" t="s">
        <v>588</v>
      </c>
      <c r="AH57" s="253">
        <v>0</v>
      </c>
      <c r="AI57" s="253">
        <v>0</v>
      </c>
      <c r="AJ57" s="253">
        <v>0</v>
      </c>
      <c r="AK57" s="253">
        <v>0</v>
      </c>
      <c r="AL57" s="253">
        <v>1</v>
      </c>
      <c r="AM57" s="245"/>
      <c r="AN57" s="253" t="s">
        <v>585</v>
      </c>
      <c r="AO57" s="253">
        <v>16739540</v>
      </c>
      <c r="AP57" s="253">
        <v>94</v>
      </c>
      <c r="AQ57" s="253">
        <v>14</v>
      </c>
      <c r="AR57" s="253">
        <v>29062</v>
      </c>
      <c r="AS57" s="253">
        <v>1</v>
      </c>
      <c r="AT57" s="245"/>
      <c r="AU57" s="253" t="s">
        <v>585</v>
      </c>
      <c r="AV57" s="253">
        <v>4537500</v>
      </c>
      <c r="AW57" s="253">
        <v>25</v>
      </c>
      <c r="AX57" s="253">
        <v>1</v>
      </c>
      <c r="AY57" s="253">
        <v>1308</v>
      </c>
      <c r="AZ57" s="253">
        <v>1</v>
      </c>
      <c r="BA57" s="245"/>
      <c r="BB57" s="253" t="s">
        <v>615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584</v>
      </c>
      <c r="BI57" s="253">
        <v>0</v>
      </c>
      <c r="BJ57" s="253">
        <v>0</v>
      </c>
      <c r="BK57" s="253">
        <v>0</v>
      </c>
      <c r="BL57" s="253">
        <v>35</v>
      </c>
      <c r="BM57" s="253">
        <v>1</v>
      </c>
      <c r="BN57" s="253"/>
      <c r="BO57" s="247"/>
      <c r="BP57" s="263" t="s">
        <v>623</v>
      </c>
      <c r="BQ57" s="263">
        <v>1661553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290</v>
      </c>
      <c r="H58" s="223">
        <v>826.41464067000004</v>
      </c>
      <c r="I58" s="164"/>
      <c r="J58" s="157"/>
      <c r="K58" s="228"/>
      <c r="L58" s="228"/>
      <c r="M58" s="228"/>
      <c r="O58" s="241" t="s">
        <v>95</v>
      </c>
      <c r="P58" s="241">
        <v>661.35102070000005</v>
      </c>
      <c r="Q58" s="239"/>
      <c r="S58" s="245" t="s">
        <v>448</v>
      </c>
      <c r="T58" s="245">
        <v>0</v>
      </c>
      <c r="U58" s="245">
        <v>4945</v>
      </c>
      <c r="V58" s="245">
        <v>120</v>
      </c>
      <c r="W58" s="245">
        <v>830042</v>
      </c>
      <c r="X58" s="245">
        <v>1</v>
      </c>
      <c r="Y58" s="245"/>
      <c r="Z58" s="253" t="s">
        <v>611</v>
      </c>
      <c r="AA58" s="253">
        <v>0</v>
      </c>
      <c r="AB58" s="253">
        <v>0</v>
      </c>
      <c r="AC58" s="253">
        <v>0</v>
      </c>
      <c r="AD58" s="253">
        <v>0</v>
      </c>
      <c r="AE58" s="253">
        <v>1</v>
      </c>
      <c r="AF58" s="253"/>
      <c r="AG58" s="253" t="s">
        <v>611</v>
      </c>
      <c r="AH58" s="253">
        <v>0</v>
      </c>
      <c r="AI58" s="253">
        <v>0</v>
      </c>
      <c r="AJ58" s="253">
        <v>0</v>
      </c>
      <c r="AK58" s="253">
        <v>0</v>
      </c>
      <c r="AL58" s="253">
        <v>1</v>
      </c>
      <c r="AM58" s="245"/>
      <c r="AN58" s="253" t="s">
        <v>586</v>
      </c>
      <c r="AO58" s="253">
        <v>13535900</v>
      </c>
      <c r="AP58" s="253">
        <v>105</v>
      </c>
      <c r="AQ58" s="253">
        <v>30</v>
      </c>
      <c r="AR58" s="253">
        <v>1213</v>
      </c>
      <c r="AS58" s="253">
        <v>1</v>
      </c>
      <c r="AT58" s="245"/>
      <c r="AU58" s="253" t="s">
        <v>586</v>
      </c>
      <c r="AV58" s="253">
        <v>3720000</v>
      </c>
      <c r="AW58" s="253">
        <v>29</v>
      </c>
      <c r="AX58" s="253">
        <v>8</v>
      </c>
      <c r="AY58" s="253">
        <v>74</v>
      </c>
      <c r="AZ58" s="253">
        <v>1</v>
      </c>
      <c r="BA58" s="245"/>
      <c r="BB58" s="253" t="s">
        <v>584</v>
      </c>
      <c r="BC58" s="253">
        <v>0</v>
      </c>
      <c r="BD58" s="253">
        <v>0</v>
      </c>
      <c r="BE58" s="253">
        <v>0</v>
      </c>
      <c r="BF58" s="253">
        <v>770</v>
      </c>
      <c r="BG58" s="253">
        <v>1</v>
      </c>
      <c r="BH58" s="247" t="s">
        <v>585</v>
      </c>
      <c r="BI58" s="253">
        <v>3221640</v>
      </c>
      <c r="BJ58" s="253">
        <v>18</v>
      </c>
      <c r="BK58" s="253">
        <v>1</v>
      </c>
      <c r="BL58" s="253">
        <v>1287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95</v>
      </c>
      <c r="H59" s="223">
        <v>485.77160696999999</v>
      </c>
      <c r="I59" s="164"/>
      <c r="J59" s="157"/>
      <c r="K59" s="228"/>
      <c r="L59" s="228"/>
      <c r="M59" s="228"/>
      <c r="O59" s="241" t="s">
        <v>97</v>
      </c>
      <c r="P59" s="241">
        <v>533.61438437000004</v>
      </c>
      <c r="Q59" s="239"/>
      <c r="S59" s="245" t="s">
        <v>182</v>
      </c>
      <c r="T59" s="245">
        <v>696170.68299999996</v>
      </c>
      <c r="U59" s="245">
        <v>2133</v>
      </c>
      <c r="V59" s="245">
        <v>5</v>
      </c>
      <c r="W59" s="245">
        <v>1536119</v>
      </c>
      <c r="X59" s="245">
        <v>1</v>
      </c>
      <c r="Y59" s="245"/>
      <c r="Z59" s="253" t="s">
        <v>612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612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587</v>
      </c>
      <c r="AO59" s="253">
        <v>34779569.909999996</v>
      </c>
      <c r="AP59" s="253">
        <v>318</v>
      </c>
      <c r="AQ59" s="253">
        <v>23</v>
      </c>
      <c r="AR59" s="253">
        <v>4292</v>
      </c>
      <c r="AS59" s="253">
        <v>1</v>
      </c>
      <c r="AT59" s="245"/>
      <c r="AU59" s="253" t="s">
        <v>587</v>
      </c>
      <c r="AV59" s="253">
        <v>0</v>
      </c>
      <c r="AW59" s="253">
        <v>0</v>
      </c>
      <c r="AX59" s="253">
        <v>0</v>
      </c>
      <c r="AY59" s="253">
        <v>264</v>
      </c>
      <c r="AZ59" s="253">
        <v>1</v>
      </c>
      <c r="BA59" s="245"/>
      <c r="BB59" s="253" t="s">
        <v>585</v>
      </c>
      <c r="BC59" s="253">
        <v>486454098.85000002</v>
      </c>
      <c r="BD59" s="253">
        <v>2601</v>
      </c>
      <c r="BE59" s="253">
        <v>14</v>
      </c>
      <c r="BF59" s="253">
        <v>28721</v>
      </c>
      <c r="BG59" s="253">
        <v>1</v>
      </c>
      <c r="BH59" s="247" t="s">
        <v>586</v>
      </c>
      <c r="BI59" s="253">
        <v>0</v>
      </c>
      <c r="BJ59" s="253">
        <v>0</v>
      </c>
      <c r="BK59" s="253">
        <v>0</v>
      </c>
      <c r="BL59" s="253">
        <v>74</v>
      </c>
      <c r="BM59" s="253">
        <v>1</v>
      </c>
      <c r="BN59" s="253"/>
      <c r="BO59" s="256" t="s">
        <v>475</v>
      </c>
      <c r="BP59" s="264" t="s">
        <v>539</v>
      </c>
      <c r="BQ59" s="264" t="s">
        <v>567</v>
      </c>
      <c r="BR59" s="264" t="s">
        <v>568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97</v>
      </c>
      <c r="H60" s="223">
        <v>385.28366152000001</v>
      </c>
      <c r="I60" s="164"/>
      <c r="J60" s="157"/>
      <c r="K60" s="228"/>
      <c r="L60" s="228"/>
      <c r="M60" s="228"/>
      <c r="O60" s="241" t="s">
        <v>293</v>
      </c>
      <c r="P60" s="241">
        <v>89715.106960820005</v>
      </c>
      <c r="Q60" s="239"/>
      <c r="S60" s="254" t="s">
        <v>446</v>
      </c>
      <c r="T60" s="257">
        <v>14896664239.100201</v>
      </c>
      <c r="U60" s="257">
        <v>47192</v>
      </c>
      <c r="V60" s="257">
        <v>9353</v>
      </c>
      <c r="W60" s="257">
        <v>671733</v>
      </c>
      <c r="X60" s="257">
        <v>1</v>
      </c>
      <c r="Y60" s="245"/>
      <c r="Z60" s="253" t="s">
        <v>589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589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588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588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586</v>
      </c>
      <c r="BC60" s="253">
        <v>5906560</v>
      </c>
      <c r="BD60" s="253">
        <v>46</v>
      </c>
      <c r="BE60" s="253">
        <v>8</v>
      </c>
      <c r="BF60" s="253">
        <v>1624</v>
      </c>
      <c r="BG60" s="253">
        <v>1</v>
      </c>
      <c r="BH60" s="247" t="s">
        <v>587</v>
      </c>
      <c r="BI60" s="253">
        <v>661945</v>
      </c>
      <c r="BJ60" s="253">
        <v>6</v>
      </c>
      <c r="BK60" s="253">
        <v>2</v>
      </c>
      <c r="BL60" s="253">
        <v>306</v>
      </c>
      <c r="BM60" s="253">
        <v>1</v>
      </c>
      <c r="BN60" s="253"/>
      <c r="BO60" s="247"/>
      <c r="BP60" s="263">
        <v>512949384776.44098</v>
      </c>
      <c r="BQ60" s="263">
        <v>37273265</v>
      </c>
      <c r="BR60" s="263">
        <v>47289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293</v>
      </c>
      <c r="H61" s="223">
        <v>68852.727319309997</v>
      </c>
      <c r="I61" s="164"/>
      <c r="J61" s="157"/>
      <c r="K61" s="228"/>
      <c r="L61" s="228"/>
      <c r="M61" s="228"/>
      <c r="O61" s="241" t="s">
        <v>99</v>
      </c>
      <c r="P61" s="241">
        <v>21127.838248880002</v>
      </c>
      <c r="Q61" s="239"/>
      <c r="R61" s="157"/>
      <c r="S61" s="253" t="s">
        <v>449</v>
      </c>
      <c r="T61" s="258">
        <v>129632755.516</v>
      </c>
      <c r="U61" s="258">
        <v>113328</v>
      </c>
      <c r="V61" s="258">
        <v>18</v>
      </c>
      <c r="W61" s="258">
        <v>12027706</v>
      </c>
      <c r="X61" s="258">
        <v>1</v>
      </c>
      <c r="Y61" s="245"/>
      <c r="Z61" s="253" t="s">
        <v>590</v>
      </c>
      <c r="AA61" s="253">
        <v>52258720.138999999</v>
      </c>
      <c r="AB61" s="253">
        <v>322</v>
      </c>
      <c r="AC61" s="253">
        <v>3</v>
      </c>
      <c r="AD61" s="253">
        <v>3222</v>
      </c>
      <c r="AE61" s="253">
        <v>1</v>
      </c>
      <c r="AF61" s="253"/>
      <c r="AG61" s="253" t="s">
        <v>590</v>
      </c>
      <c r="AH61" s="253">
        <v>0</v>
      </c>
      <c r="AI61" s="253">
        <v>0</v>
      </c>
      <c r="AJ61" s="253">
        <v>0</v>
      </c>
      <c r="AK61" s="253">
        <v>131</v>
      </c>
      <c r="AL61" s="253">
        <v>1</v>
      </c>
      <c r="AM61" s="245"/>
      <c r="AN61" s="253" t="s">
        <v>611</v>
      </c>
      <c r="AO61" s="253">
        <v>0</v>
      </c>
      <c r="AP61" s="253">
        <v>0</v>
      </c>
      <c r="AQ61" s="253">
        <v>0</v>
      </c>
      <c r="AR61" s="253">
        <v>0</v>
      </c>
      <c r="AS61" s="253">
        <v>1</v>
      </c>
      <c r="AT61" s="245"/>
      <c r="AU61" s="253" t="s">
        <v>611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587</v>
      </c>
      <c r="BC61" s="253">
        <v>102221980.33499999</v>
      </c>
      <c r="BD61" s="253">
        <v>920</v>
      </c>
      <c r="BE61" s="253">
        <v>41</v>
      </c>
      <c r="BF61" s="253">
        <v>6373</v>
      </c>
      <c r="BG61" s="253">
        <v>1</v>
      </c>
      <c r="BH61" s="247" t="s">
        <v>588</v>
      </c>
      <c r="BI61" s="253">
        <v>0</v>
      </c>
      <c r="BJ61" s="253">
        <v>0</v>
      </c>
      <c r="BK61" s="253">
        <v>0</v>
      </c>
      <c r="BL61" s="253">
        <v>0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99</v>
      </c>
      <c r="H62" s="223">
        <v>20451.660737149999</v>
      </c>
      <c r="I62" s="164"/>
      <c r="J62" s="157"/>
      <c r="K62" s="228"/>
      <c r="L62" s="228"/>
      <c r="M62" s="228"/>
      <c r="O62" s="241" t="s">
        <v>294</v>
      </c>
      <c r="P62" s="241">
        <v>222.04568696999999</v>
      </c>
      <c r="Q62" s="239"/>
      <c r="R62" s="157"/>
      <c r="S62" s="253" t="s">
        <v>450</v>
      </c>
      <c r="T62" s="258">
        <v>0</v>
      </c>
      <c r="U62" s="258">
        <v>52432</v>
      </c>
      <c r="V62" s="258">
        <v>17</v>
      </c>
      <c r="W62" s="258">
        <v>11531907</v>
      </c>
      <c r="X62" s="258">
        <v>1</v>
      </c>
      <c r="Y62" s="245"/>
      <c r="Z62" s="253" t="s">
        <v>591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591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612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612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588</v>
      </c>
      <c r="BC62" s="253">
        <v>0</v>
      </c>
      <c r="BD62" s="253">
        <v>0</v>
      </c>
      <c r="BE62" s="253">
        <v>0</v>
      </c>
      <c r="BF62" s="253">
        <v>0</v>
      </c>
      <c r="BG62" s="253">
        <v>1</v>
      </c>
      <c r="BH62" s="247" t="s">
        <v>611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539</v>
      </c>
      <c r="BQ62" s="264" t="s">
        <v>567</v>
      </c>
      <c r="BR62" s="264" t="s">
        <v>568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294</v>
      </c>
      <c r="H63" s="223">
        <v>230.6143715</v>
      </c>
      <c r="I63" s="164"/>
      <c r="J63" s="157"/>
      <c r="K63" s="228"/>
      <c r="L63" s="228"/>
      <c r="M63" s="228"/>
      <c r="O63" s="241" t="s">
        <v>295</v>
      </c>
      <c r="P63" s="241">
        <v>10815.769217429999</v>
      </c>
      <c r="Q63" s="239"/>
      <c r="R63" s="153" t="s">
        <v>456</v>
      </c>
      <c r="S63" s="253" t="s">
        <v>565</v>
      </c>
      <c r="T63" s="258" t="s">
        <v>566</v>
      </c>
      <c r="U63" s="258" t="s">
        <v>567</v>
      </c>
      <c r="V63" s="258" t="s">
        <v>568</v>
      </c>
      <c r="W63" s="258" t="s">
        <v>569</v>
      </c>
      <c r="X63" s="258" t="s">
        <v>570</v>
      </c>
      <c r="Y63" s="245"/>
      <c r="Z63" s="253" t="s">
        <v>592</v>
      </c>
      <c r="AA63" s="253">
        <v>103520649.54000001</v>
      </c>
      <c r="AB63" s="253">
        <v>864</v>
      </c>
      <c r="AC63" s="253">
        <v>38</v>
      </c>
      <c r="AD63" s="253">
        <v>7451</v>
      </c>
      <c r="AE63" s="253">
        <v>1</v>
      </c>
      <c r="AF63" s="253"/>
      <c r="AG63" s="253" t="s">
        <v>592</v>
      </c>
      <c r="AH63" s="253">
        <v>223100</v>
      </c>
      <c r="AI63" s="253">
        <v>2</v>
      </c>
      <c r="AJ63" s="253">
        <v>2</v>
      </c>
      <c r="AK63" s="253">
        <v>241</v>
      </c>
      <c r="AL63" s="253">
        <v>1</v>
      </c>
      <c r="AM63" s="245"/>
      <c r="AN63" s="253" t="s">
        <v>589</v>
      </c>
      <c r="AO63" s="253">
        <v>0</v>
      </c>
      <c r="AP63" s="253">
        <v>0</v>
      </c>
      <c r="AQ63" s="253">
        <v>0</v>
      </c>
      <c r="AR63" s="253">
        <v>0</v>
      </c>
      <c r="AS63" s="253">
        <v>1</v>
      </c>
      <c r="AT63" s="245"/>
      <c r="AU63" s="253" t="s">
        <v>589</v>
      </c>
      <c r="AV63" s="253">
        <v>0</v>
      </c>
      <c r="AW63" s="253">
        <v>0</v>
      </c>
      <c r="AX63" s="253">
        <v>0</v>
      </c>
      <c r="AY63" s="253">
        <v>0</v>
      </c>
      <c r="AZ63" s="253">
        <v>1</v>
      </c>
      <c r="BA63" s="245"/>
      <c r="BB63" s="253" t="s">
        <v>611</v>
      </c>
      <c r="BC63" s="253">
        <v>0</v>
      </c>
      <c r="BD63" s="253">
        <v>0</v>
      </c>
      <c r="BE63" s="253">
        <v>0</v>
      </c>
      <c r="BF63" s="253">
        <v>0</v>
      </c>
      <c r="BG63" s="253">
        <v>1</v>
      </c>
      <c r="BH63" s="247" t="s">
        <v>612</v>
      </c>
      <c r="BI63" s="253">
        <v>0</v>
      </c>
      <c r="BJ63" s="253">
        <v>0</v>
      </c>
      <c r="BK63" s="253">
        <v>0</v>
      </c>
      <c r="BL63" s="253">
        <v>0</v>
      </c>
      <c r="BM63" s="253">
        <v>1</v>
      </c>
      <c r="BN63" s="253"/>
      <c r="BO63" s="251"/>
      <c r="BP63" s="263">
        <v>509056205902.72498</v>
      </c>
      <c r="BQ63" s="263">
        <v>30563065</v>
      </c>
      <c r="BR63" s="263">
        <v>3354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297</v>
      </c>
      <c r="H64" s="223">
        <v>178.61062491000001</v>
      </c>
      <c r="I64" s="164"/>
      <c r="J64" s="3"/>
      <c r="K64" s="228"/>
      <c r="L64" s="228"/>
      <c r="M64" s="228"/>
      <c r="O64" s="241" t="s">
        <v>296</v>
      </c>
      <c r="P64" s="241">
        <v>10183.398783279999</v>
      </c>
      <c r="Q64" s="239"/>
      <c r="R64" s="157"/>
      <c r="S64" s="253" t="s">
        <v>451</v>
      </c>
      <c r="T64" s="258">
        <v>333011511.49000001</v>
      </c>
      <c r="U64" s="258">
        <v>229143</v>
      </c>
      <c r="V64" s="258">
        <v>238</v>
      </c>
      <c r="W64" s="258">
        <v>312130</v>
      </c>
      <c r="X64" s="258">
        <v>0</v>
      </c>
      <c r="Y64" s="245"/>
      <c r="Z64" s="253" t="s">
        <v>593</v>
      </c>
      <c r="AA64" s="253">
        <v>22573260</v>
      </c>
      <c r="AB64" s="253">
        <v>263</v>
      </c>
      <c r="AC64" s="253">
        <v>17</v>
      </c>
      <c r="AD64" s="253">
        <v>1118</v>
      </c>
      <c r="AE64" s="253">
        <v>1</v>
      </c>
      <c r="AF64" s="253"/>
      <c r="AG64" s="253" t="s">
        <v>593</v>
      </c>
      <c r="AH64" s="253">
        <v>0</v>
      </c>
      <c r="AI64" s="253">
        <v>0</v>
      </c>
      <c r="AJ64" s="253">
        <v>0</v>
      </c>
      <c r="AK64" s="253">
        <v>48</v>
      </c>
      <c r="AL64" s="253">
        <v>1</v>
      </c>
      <c r="AM64" s="245"/>
      <c r="AN64" s="253" t="s">
        <v>590</v>
      </c>
      <c r="AO64" s="253">
        <v>2726000</v>
      </c>
      <c r="AP64" s="253">
        <v>20</v>
      </c>
      <c r="AQ64" s="253">
        <v>1</v>
      </c>
      <c r="AR64" s="253">
        <v>5590</v>
      </c>
      <c r="AS64" s="253">
        <v>1</v>
      </c>
      <c r="AT64" s="245"/>
      <c r="AU64" s="253" t="s">
        <v>590</v>
      </c>
      <c r="AV64" s="253">
        <v>2726000</v>
      </c>
      <c r="AW64" s="253">
        <v>20</v>
      </c>
      <c r="AX64" s="253">
        <v>1</v>
      </c>
      <c r="AY64" s="253">
        <v>235</v>
      </c>
      <c r="AZ64" s="253">
        <v>1</v>
      </c>
      <c r="BA64" s="245"/>
      <c r="BB64" s="253" t="s">
        <v>612</v>
      </c>
      <c r="BC64" s="253">
        <v>0</v>
      </c>
      <c r="BD64" s="253">
        <v>0</v>
      </c>
      <c r="BE64" s="253">
        <v>0</v>
      </c>
      <c r="BF64" s="253">
        <v>0</v>
      </c>
      <c r="BG64" s="253">
        <v>1</v>
      </c>
      <c r="BH64" s="247" t="s">
        <v>589</v>
      </c>
      <c r="BI64" s="253">
        <v>0</v>
      </c>
      <c r="BJ64" s="253">
        <v>0</v>
      </c>
      <c r="BK64" s="253">
        <v>0</v>
      </c>
      <c r="BL64" s="253">
        <v>30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298</v>
      </c>
      <c r="H65" s="223">
        <v>12377.422500909999</v>
      </c>
      <c r="I65" s="164"/>
      <c r="J65" s="3"/>
      <c r="K65" s="228"/>
      <c r="L65" s="228"/>
      <c r="M65" s="228"/>
      <c r="O65" s="241" t="s">
        <v>297</v>
      </c>
      <c r="P65" s="241">
        <v>180.94251070999999</v>
      </c>
      <c r="Q65" s="239"/>
      <c r="R65" s="157"/>
      <c r="S65" s="253" t="s">
        <v>448</v>
      </c>
      <c r="T65" s="258">
        <v>0</v>
      </c>
      <c r="U65" s="258">
        <v>0</v>
      </c>
      <c r="V65" s="258">
        <v>0</v>
      </c>
      <c r="W65" s="258">
        <v>0</v>
      </c>
      <c r="X65" s="258">
        <v>0</v>
      </c>
      <c r="Y65" s="245"/>
      <c r="Z65" s="253" t="s">
        <v>594</v>
      </c>
      <c r="AA65" s="253">
        <v>0</v>
      </c>
      <c r="AB65" s="253">
        <v>0</v>
      </c>
      <c r="AC65" s="253">
        <v>0</v>
      </c>
      <c r="AD65" s="253">
        <v>0</v>
      </c>
      <c r="AE65" s="253">
        <v>1</v>
      </c>
      <c r="AF65" s="253"/>
      <c r="AG65" s="253" t="s">
        <v>594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591</v>
      </c>
      <c r="AO65" s="253">
        <v>0</v>
      </c>
      <c r="AP65" s="253">
        <v>0</v>
      </c>
      <c r="AQ65" s="253">
        <v>0</v>
      </c>
      <c r="AR65" s="253">
        <v>0</v>
      </c>
      <c r="AS65" s="253">
        <v>1</v>
      </c>
      <c r="AT65" s="245"/>
      <c r="AU65" s="253" t="s">
        <v>591</v>
      </c>
      <c r="AV65" s="253">
        <v>0</v>
      </c>
      <c r="AW65" s="253">
        <v>0</v>
      </c>
      <c r="AX65" s="253">
        <v>0</v>
      </c>
      <c r="AY65" s="253">
        <v>0</v>
      </c>
      <c r="AZ65" s="253">
        <v>1</v>
      </c>
      <c r="BA65" s="245"/>
      <c r="BB65" s="253" t="s">
        <v>589</v>
      </c>
      <c r="BC65" s="253">
        <v>945600</v>
      </c>
      <c r="BD65" s="253">
        <v>30</v>
      </c>
      <c r="BE65" s="253">
        <v>1</v>
      </c>
      <c r="BF65" s="253">
        <v>570</v>
      </c>
      <c r="BG65" s="253">
        <v>1</v>
      </c>
      <c r="BH65" s="247" t="s">
        <v>590</v>
      </c>
      <c r="BI65" s="253">
        <v>0</v>
      </c>
      <c r="BJ65" s="253">
        <v>0</v>
      </c>
      <c r="BK65" s="253">
        <v>0</v>
      </c>
      <c r="BL65" s="253">
        <v>235</v>
      </c>
      <c r="BM65" s="253">
        <v>1</v>
      </c>
      <c r="BN65" s="253"/>
      <c r="BO65" s="256" t="s">
        <v>476</v>
      </c>
      <c r="BP65" s="264" t="s">
        <v>539</v>
      </c>
      <c r="BQ65" s="264" t="s">
        <v>567</v>
      </c>
      <c r="BR65" s="264" t="s">
        <v>568</v>
      </c>
    </row>
    <row r="66" spans="1:70" x14ac:dyDescent="0.2">
      <c r="A66" s="83"/>
      <c r="B66" s="190" t="s">
        <v>271</v>
      </c>
      <c r="C66" s="193">
        <v>43125</v>
      </c>
      <c r="D66" s="190">
        <v>11945.42860623</v>
      </c>
      <c r="E66" s="223">
        <v>1</v>
      </c>
      <c r="F66" s="220"/>
      <c r="G66" s="223" t="s">
        <v>299</v>
      </c>
      <c r="H66" s="223">
        <v>4199.8671298199997</v>
      </c>
      <c r="I66" s="164"/>
      <c r="J66" s="3"/>
      <c r="K66" s="228"/>
      <c r="L66" s="228"/>
      <c r="M66" s="228"/>
      <c r="O66" s="241" t="s">
        <v>298</v>
      </c>
      <c r="P66" s="241">
        <v>13032.42337099</v>
      </c>
      <c r="Q66" s="239"/>
      <c r="R66" s="157"/>
      <c r="S66" s="253" t="s">
        <v>446</v>
      </c>
      <c r="T66" s="258">
        <v>2173846562.4899998</v>
      </c>
      <c r="U66" s="258">
        <v>421785</v>
      </c>
      <c r="V66" s="258">
        <v>552</v>
      </c>
      <c r="W66" s="258">
        <v>1207622</v>
      </c>
      <c r="X66" s="258">
        <v>0</v>
      </c>
      <c r="Y66" s="245"/>
      <c r="Z66" s="253" t="s">
        <v>595</v>
      </c>
      <c r="AA66" s="253">
        <v>0</v>
      </c>
      <c r="AB66" s="253">
        <v>0</v>
      </c>
      <c r="AC66" s="253">
        <v>0</v>
      </c>
      <c r="AD66" s="253">
        <v>0</v>
      </c>
      <c r="AE66" s="253">
        <v>1</v>
      </c>
      <c r="AF66" s="253"/>
      <c r="AG66" s="253" t="s">
        <v>595</v>
      </c>
      <c r="AH66" s="253">
        <v>0</v>
      </c>
      <c r="AI66" s="253">
        <v>0</v>
      </c>
      <c r="AJ66" s="253">
        <v>0</v>
      </c>
      <c r="AK66" s="253">
        <v>0</v>
      </c>
      <c r="AL66" s="253">
        <v>1</v>
      </c>
      <c r="AM66" s="245"/>
      <c r="AN66" s="253" t="s">
        <v>592</v>
      </c>
      <c r="AO66" s="253">
        <v>40253525.100000001</v>
      </c>
      <c r="AP66" s="253">
        <v>311</v>
      </c>
      <c r="AQ66" s="253">
        <v>11</v>
      </c>
      <c r="AR66" s="253">
        <v>12287</v>
      </c>
      <c r="AS66" s="253">
        <v>1</v>
      </c>
      <c r="AT66" s="245"/>
      <c r="AU66" s="253" t="s">
        <v>592</v>
      </c>
      <c r="AV66" s="253">
        <v>19761380.050000001</v>
      </c>
      <c r="AW66" s="253">
        <v>151</v>
      </c>
      <c r="AX66" s="253">
        <v>2</v>
      </c>
      <c r="AY66" s="253">
        <v>368</v>
      </c>
      <c r="AZ66" s="253">
        <v>1</v>
      </c>
      <c r="BA66" s="245"/>
      <c r="BB66" s="253" t="s">
        <v>590</v>
      </c>
      <c r="BC66" s="253">
        <v>67176849.974999994</v>
      </c>
      <c r="BD66" s="253">
        <v>470</v>
      </c>
      <c r="BE66" s="253">
        <v>6</v>
      </c>
      <c r="BF66" s="253">
        <v>5170</v>
      </c>
      <c r="BG66" s="253">
        <v>1</v>
      </c>
      <c r="BH66" s="247" t="s">
        <v>591</v>
      </c>
      <c r="BI66" s="253">
        <v>0</v>
      </c>
      <c r="BJ66" s="253">
        <v>0</v>
      </c>
      <c r="BK66" s="253">
        <v>0</v>
      </c>
      <c r="BL66" s="253">
        <v>0</v>
      </c>
      <c r="BM66" s="253">
        <v>1</v>
      </c>
      <c r="BN66" s="253"/>
      <c r="BO66" s="247"/>
      <c r="BP66" s="263">
        <v>566301514725.19995</v>
      </c>
      <c r="BQ66" s="263">
        <v>41401950</v>
      </c>
      <c r="BR66" s="263">
        <v>59154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300</v>
      </c>
      <c r="H67" s="223">
        <v>141.88688773000001</v>
      </c>
      <c r="I67" s="164"/>
      <c r="J67" s="3"/>
      <c r="K67" s="228"/>
      <c r="L67" s="228"/>
      <c r="M67" s="228"/>
      <c r="O67" s="241" t="s">
        <v>299</v>
      </c>
      <c r="P67" s="241">
        <v>6619.9861922600003</v>
      </c>
      <c r="Q67" s="239"/>
      <c r="R67" s="157"/>
      <c r="S67" s="253" t="s">
        <v>449</v>
      </c>
      <c r="T67" s="258">
        <v>0</v>
      </c>
      <c r="U67" s="258">
        <v>0</v>
      </c>
      <c r="V67" s="258">
        <v>0</v>
      </c>
      <c r="W67" s="258">
        <v>0</v>
      </c>
      <c r="X67" s="258">
        <v>0</v>
      </c>
      <c r="Y67" s="245"/>
      <c r="Z67" s="253" t="s">
        <v>596</v>
      </c>
      <c r="AA67" s="253">
        <v>31366047.350000001</v>
      </c>
      <c r="AB67" s="253">
        <v>307</v>
      </c>
      <c r="AC67" s="253">
        <v>18</v>
      </c>
      <c r="AD67" s="253">
        <v>3123</v>
      </c>
      <c r="AE67" s="253">
        <v>1</v>
      </c>
      <c r="AF67" s="253"/>
      <c r="AG67" s="253" t="s">
        <v>596</v>
      </c>
      <c r="AH67" s="253">
        <v>0</v>
      </c>
      <c r="AI67" s="253">
        <v>0</v>
      </c>
      <c r="AJ67" s="253">
        <v>0</v>
      </c>
      <c r="AK67" s="253">
        <v>31</v>
      </c>
      <c r="AL67" s="253">
        <v>1</v>
      </c>
      <c r="AM67" s="245"/>
      <c r="AN67" s="253" t="s">
        <v>593</v>
      </c>
      <c r="AO67" s="253">
        <v>10018569.91</v>
      </c>
      <c r="AP67" s="253">
        <v>108</v>
      </c>
      <c r="AQ67" s="253">
        <v>39</v>
      </c>
      <c r="AR67" s="253">
        <v>2250</v>
      </c>
      <c r="AS67" s="253">
        <v>1</v>
      </c>
      <c r="AT67" s="245"/>
      <c r="AU67" s="253" t="s">
        <v>593</v>
      </c>
      <c r="AV67" s="253">
        <v>0</v>
      </c>
      <c r="AW67" s="253">
        <v>0</v>
      </c>
      <c r="AX67" s="253">
        <v>0</v>
      </c>
      <c r="AY67" s="253">
        <v>136</v>
      </c>
      <c r="AZ67" s="253">
        <v>1</v>
      </c>
      <c r="BA67" s="245"/>
      <c r="BB67" s="253" t="s">
        <v>591</v>
      </c>
      <c r="BC67" s="253">
        <v>0</v>
      </c>
      <c r="BD67" s="253">
        <v>0</v>
      </c>
      <c r="BE67" s="253">
        <v>0</v>
      </c>
      <c r="BF67" s="253">
        <v>0</v>
      </c>
      <c r="BG67" s="253">
        <v>1</v>
      </c>
      <c r="BH67" s="247" t="s">
        <v>592</v>
      </c>
      <c r="BI67" s="253">
        <v>1168680</v>
      </c>
      <c r="BJ67" s="253">
        <v>9</v>
      </c>
      <c r="BK67" s="253">
        <v>3</v>
      </c>
      <c r="BL67" s="253">
        <v>523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301</v>
      </c>
      <c r="H68" s="223">
        <v>1765.5235345200001</v>
      </c>
      <c r="I68" s="164"/>
      <c r="J68" s="3"/>
      <c r="K68" s="228"/>
      <c r="L68" s="228"/>
      <c r="M68" s="228"/>
      <c r="O68" s="241" t="s">
        <v>300</v>
      </c>
      <c r="P68" s="241">
        <v>184.15571331999999</v>
      </c>
      <c r="Q68" s="239"/>
      <c r="R68" s="157"/>
      <c r="S68" s="253" t="s">
        <v>447</v>
      </c>
      <c r="T68" s="258">
        <v>928398213.83000004</v>
      </c>
      <c r="U68" s="258">
        <v>843421</v>
      </c>
      <c r="V68" s="258">
        <v>653</v>
      </c>
      <c r="W68" s="258">
        <v>2539610</v>
      </c>
      <c r="X68" s="258">
        <v>0</v>
      </c>
      <c r="Y68" s="245"/>
      <c r="Z68" s="253" t="s">
        <v>597</v>
      </c>
      <c r="AA68" s="253">
        <v>8532720</v>
      </c>
      <c r="AB68" s="253">
        <v>118</v>
      </c>
      <c r="AC68" s="253">
        <v>19</v>
      </c>
      <c r="AD68" s="253">
        <v>939</v>
      </c>
      <c r="AE68" s="253">
        <v>1</v>
      </c>
      <c r="AF68" s="253"/>
      <c r="AG68" s="253" t="s">
        <v>597</v>
      </c>
      <c r="AH68" s="253">
        <v>0</v>
      </c>
      <c r="AI68" s="253">
        <v>0</v>
      </c>
      <c r="AJ68" s="253">
        <v>0</v>
      </c>
      <c r="AK68" s="253">
        <v>38</v>
      </c>
      <c r="AL68" s="253">
        <v>1</v>
      </c>
      <c r="AM68" s="245"/>
      <c r="AN68" s="253" t="s">
        <v>616</v>
      </c>
      <c r="AO68" s="253">
        <v>0</v>
      </c>
      <c r="AP68" s="253">
        <v>0</v>
      </c>
      <c r="AQ68" s="253">
        <v>0</v>
      </c>
      <c r="AR68" s="253">
        <v>0</v>
      </c>
      <c r="AS68" s="253">
        <v>1</v>
      </c>
      <c r="AT68" s="245"/>
      <c r="AU68" s="253" t="s">
        <v>616</v>
      </c>
      <c r="AV68" s="253">
        <v>0</v>
      </c>
      <c r="AW68" s="253">
        <v>0</v>
      </c>
      <c r="AX68" s="253">
        <v>0</v>
      </c>
      <c r="AY68" s="253">
        <v>0</v>
      </c>
      <c r="AZ68" s="253">
        <v>1</v>
      </c>
      <c r="BA68" s="245"/>
      <c r="BB68" s="253" t="s">
        <v>592</v>
      </c>
      <c r="BC68" s="253">
        <v>114255870.316</v>
      </c>
      <c r="BD68" s="253">
        <v>839</v>
      </c>
      <c r="BE68" s="253">
        <v>15</v>
      </c>
      <c r="BF68" s="253">
        <v>10844</v>
      </c>
      <c r="BG68" s="253">
        <v>1</v>
      </c>
      <c r="BH68" s="247" t="s">
        <v>593</v>
      </c>
      <c r="BI68" s="253">
        <v>0</v>
      </c>
      <c r="BJ68" s="253">
        <v>0</v>
      </c>
      <c r="BK68" s="253">
        <v>0</v>
      </c>
      <c r="BL68" s="253">
        <v>39</v>
      </c>
      <c r="BM68" s="253">
        <v>1</v>
      </c>
      <c r="BN68" s="253"/>
      <c r="BO68" s="256" t="s">
        <v>477</v>
      </c>
      <c r="BP68" s="264" t="s">
        <v>539</v>
      </c>
      <c r="BQ68" s="264" t="s">
        <v>567</v>
      </c>
      <c r="BR68" s="264" t="s">
        <v>568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303</v>
      </c>
      <c r="H69" s="223">
        <v>13757.9516</v>
      </c>
      <c r="I69" s="164"/>
      <c r="J69" s="3"/>
      <c r="K69" s="228"/>
      <c r="L69" s="228"/>
      <c r="M69" s="228"/>
      <c r="O69" s="241" t="s">
        <v>301</v>
      </c>
      <c r="P69" s="241">
        <v>1969.3837946000001</v>
      </c>
      <c r="Q69" s="239"/>
      <c r="R69" s="157"/>
      <c r="S69" s="253" t="s">
        <v>571</v>
      </c>
      <c r="T69" s="258">
        <v>0</v>
      </c>
      <c r="U69" s="258">
        <v>0</v>
      </c>
      <c r="V69" s="258">
        <v>0</v>
      </c>
      <c r="W69" s="258">
        <v>0</v>
      </c>
      <c r="X69" s="258">
        <v>1</v>
      </c>
      <c r="Y69" s="245"/>
      <c r="Z69" s="253" t="s">
        <v>598</v>
      </c>
      <c r="AA69" s="253">
        <v>19827000</v>
      </c>
      <c r="AB69" s="253">
        <v>150</v>
      </c>
      <c r="AC69" s="253">
        <v>5</v>
      </c>
      <c r="AD69" s="253">
        <v>770</v>
      </c>
      <c r="AE69" s="253">
        <v>1</v>
      </c>
      <c r="AF69" s="253"/>
      <c r="AG69" s="253" t="s">
        <v>598</v>
      </c>
      <c r="AH69" s="253">
        <v>0</v>
      </c>
      <c r="AI69" s="253">
        <v>0</v>
      </c>
      <c r="AJ69" s="253">
        <v>0</v>
      </c>
      <c r="AK69" s="253">
        <v>30</v>
      </c>
      <c r="AL69" s="253">
        <v>1</v>
      </c>
      <c r="AM69" s="245"/>
      <c r="AN69" s="253" t="s">
        <v>595</v>
      </c>
      <c r="AO69" s="253">
        <v>0</v>
      </c>
      <c r="AP69" s="253">
        <v>0</v>
      </c>
      <c r="AQ69" s="253">
        <v>0</v>
      </c>
      <c r="AR69" s="253">
        <v>0</v>
      </c>
      <c r="AS69" s="253">
        <v>1</v>
      </c>
      <c r="AT69" s="245"/>
      <c r="AU69" s="253" t="s">
        <v>617</v>
      </c>
      <c r="AV69" s="253">
        <v>0</v>
      </c>
      <c r="AW69" s="253">
        <v>0</v>
      </c>
      <c r="AX69" s="253">
        <v>0</v>
      </c>
      <c r="AY69" s="253">
        <v>0</v>
      </c>
      <c r="AZ69" s="253">
        <v>1</v>
      </c>
      <c r="BA69" s="245"/>
      <c r="BB69" s="253" t="s">
        <v>593</v>
      </c>
      <c r="BC69" s="253">
        <v>16789640.010000002</v>
      </c>
      <c r="BD69" s="253">
        <v>179</v>
      </c>
      <c r="BE69" s="253">
        <v>34</v>
      </c>
      <c r="BF69" s="253">
        <v>1655</v>
      </c>
      <c r="BG69" s="253">
        <v>1</v>
      </c>
      <c r="BH69" s="247" t="s">
        <v>618</v>
      </c>
      <c r="BI69" s="253">
        <v>0</v>
      </c>
      <c r="BJ69" s="253">
        <v>0</v>
      </c>
      <c r="BK69" s="253">
        <v>0</v>
      </c>
      <c r="BL69" s="253">
        <v>0</v>
      </c>
      <c r="BM69" s="253">
        <v>1</v>
      </c>
      <c r="BN69" s="253"/>
      <c r="BO69" s="247"/>
      <c r="BP69" s="263">
        <v>218499703898.20001</v>
      </c>
      <c r="BQ69" s="263">
        <v>15461525</v>
      </c>
      <c r="BR69" s="263">
        <v>3794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304</v>
      </c>
      <c r="H70" s="223">
        <v>21537.2958554</v>
      </c>
      <c r="I70" s="164"/>
      <c r="J70" s="3"/>
      <c r="K70" s="228"/>
      <c r="L70" s="228"/>
      <c r="M70" s="228"/>
      <c r="O70" s="241" t="s">
        <v>302</v>
      </c>
      <c r="P70" s="241">
        <v>10630.16340935</v>
      </c>
      <c r="Q70" s="239"/>
      <c r="R70" s="157"/>
      <c r="S70" s="253" t="s">
        <v>451</v>
      </c>
      <c r="T70" s="258">
        <v>2836770877.842</v>
      </c>
      <c r="U70" s="258">
        <v>106910</v>
      </c>
      <c r="V70" s="258">
        <v>212</v>
      </c>
      <c r="W70" s="258">
        <v>470128</v>
      </c>
      <c r="X70" s="258">
        <v>1</v>
      </c>
      <c r="Y70" s="245"/>
      <c r="Z70" s="253" t="s">
        <v>599</v>
      </c>
      <c r="AA70" s="253">
        <v>0</v>
      </c>
      <c r="AB70" s="253">
        <v>0</v>
      </c>
      <c r="AC70" s="253">
        <v>0</v>
      </c>
      <c r="AD70" s="253">
        <v>462</v>
      </c>
      <c r="AE70" s="253">
        <v>1</v>
      </c>
      <c r="AF70" s="253"/>
      <c r="AG70" s="253" t="s">
        <v>599</v>
      </c>
      <c r="AH70" s="253">
        <v>0</v>
      </c>
      <c r="AI70" s="253">
        <v>0</v>
      </c>
      <c r="AJ70" s="253">
        <v>0</v>
      </c>
      <c r="AK70" s="253">
        <v>21</v>
      </c>
      <c r="AL70" s="253">
        <v>1</v>
      </c>
      <c r="AM70" s="245"/>
      <c r="AN70" s="253" t="s">
        <v>617</v>
      </c>
      <c r="AO70" s="253">
        <v>0</v>
      </c>
      <c r="AP70" s="253">
        <v>0</v>
      </c>
      <c r="AQ70" s="253">
        <v>0</v>
      </c>
      <c r="AR70" s="253">
        <v>0</v>
      </c>
      <c r="AS70" s="253">
        <v>1</v>
      </c>
      <c r="AT70" s="245"/>
      <c r="AU70" s="253" t="s">
        <v>596</v>
      </c>
      <c r="AV70" s="253">
        <v>598000</v>
      </c>
      <c r="AW70" s="253">
        <v>5</v>
      </c>
      <c r="AX70" s="253">
        <v>1</v>
      </c>
      <c r="AY70" s="253">
        <v>560</v>
      </c>
      <c r="AZ70" s="253">
        <v>1</v>
      </c>
      <c r="BA70" s="245"/>
      <c r="BB70" s="253" t="s">
        <v>616</v>
      </c>
      <c r="BC70" s="253">
        <v>10355200</v>
      </c>
      <c r="BD70" s="253">
        <v>80</v>
      </c>
      <c r="BE70" s="253">
        <v>1</v>
      </c>
      <c r="BF70" s="253">
        <v>0</v>
      </c>
      <c r="BG70" s="253">
        <v>1</v>
      </c>
      <c r="BH70" s="247" t="s">
        <v>619</v>
      </c>
      <c r="BI70" s="253">
        <v>0</v>
      </c>
      <c r="BJ70" s="253">
        <v>0</v>
      </c>
      <c r="BK70" s="253">
        <v>0</v>
      </c>
      <c r="BL70" s="253">
        <v>0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58</v>
      </c>
      <c r="H71" s="223">
        <v>23428.595801579999</v>
      </c>
      <c r="I71" s="164"/>
      <c r="J71" s="3"/>
      <c r="K71" s="228"/>
      <c r="L71" s="228"/>
      <c r="M71" s="228"/>
      <c r="O71" s="241" t="s">
        <v>303</v>
      </c>
      <c r="P71" s="241">
        <v>12194.408100000001</v>
      </c>
      <c r="Q71" s="239"/>
      <c r="R71" s="157"/>
      <c r="S71" s="253" t="s">
        <v>448</v>
      </c>
      <c r="T71" s="258">
        <v>390</v>
      </c>
      <c r="U71" s="258">
        <v>452104</v>
      </c>
      <c r="V71" s="258">
        <v>3871</v>
      </c>
      <c r="W71" s="258">
        <v>971285</v>
      </c>
      <c r="X71" s="258">
        <v>1</v>
      </c>
      <c r="Y71" s="245"/>
      <c r="Z71" s="253" t="s">
        <v>600</v>
      </c>
      <c r="AA71" s="253">
        <v>1490000</v>
      </c>
      <c r="AB71" s="253">
        <v>4</v>
      </c>
      <c r="AC71" s="253">
        <v>4</v>
      </c>
      <c r="AD71" s="253">
        <v>246</v>
      </c>
      <c r="AE71" s="253">
        <v>1</v>
      </c>
      <c r="AF71" s="253"/>
      <c r="AG71" s="253" t="s">
        <v>600</v>
      </c>
      <c r="AH71" s="253">
        <v>755000</v>
      </c>
      <c r="AI71" s="253">
        <v>2</v>
      </c>
      <c r="AJ71" s="253">
        <v>2</v>
      </c>
      <c r="AK71" s="253">
        <v>9</v>
      </c>
      <c r="AL71" s="253">
        <v>1</v>
      </c>
      <c r="AM71" s="245"/>
      <c r="AN71" s="253" t="s">
        <v>596</v>
      </c>
      <c r="AO71" s="253">
        <v>3323500</v>
      </c>
      <c r="AP71" s="253">
        <v>28</v>
      </c>
      <c r="AQ71" s="253">
        <v>2</v>
      </c>
      <c r="AR71" s="253">
        <v>12195</v>
      </c>
      <c r="AS71" s="253">
        <v>1</v>
      </c>
      <c r="AT71" s="245"/>
      <c r="AU71" s="253" t="s">
        <v>597</v>
      </c>
      <c r="AV71" s="253">
        <v>0</v>
      </c>
      <c r="AW71" s="253">
        <v>0</v>
      </c>
      <c r="AX71" s="253">
        <v>0</v>
      </c>
      <c r="AY71" s="253">
        <v>16</v>
      </c>
      <c r="AZ71" s="253">
        <v>1</v>
      </c>
      <c r="BA71" s="245"/>
      <c r="BB71" s="253" t="s">
        <v>618</v>
      </c>
      <c r="BC71" s="253">
        <v>0</v>
      </c>
      <c r="BD71" s="253">
        <v>0</v>
      </c>
      <c r="BE71" s="253">
        <v>0</v>
      </c>
      <c r="BF71" s="253">
        <v>0</v>
      </c>
      <c r="BG71" s="253">
        <v>1</v>
      </c>
      <c r="BH71" s="247" t="s">
        <v>596</v>
      </c>
      <c r="BI71" s="253">
        <v>0</v>
      </c>
      <c r="BJ71" s="253">
        <v>0</v>
      </c>
      <c r="BK71" s="253">
        <v>0</v>
      </c>
      <c r="BL71" s="253">
        <v>680</v>
      </c>
      <c r="BM71" s="253">
        <v>1</v>
      </c>
      <c r="BN71" s="253"/>
      <c r="BO71" s="256" t="s">
        <v>494</v>
      </c>
      <c r="BP71" s="264" t="s">
        <v>621</v>
      </c>
      <c r="BQ71" s="264" t="s">
        <v>569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51</v>
      </c>
      <c r="H72" s="223">
        <v>25503.168538940001</v>
      </c>
      <c r="I72" s="164"/>
      <c r="J72" s="3"/>
      <c r="K72" s="228"/>
      <c r="L72" s="228"/>
      <c r="M72" s="228"/>
      <c r="O72" s="241" t="s">
        <v>304</v>
      </c>
      <c r="P72" s="241">
        <v>24876.591253930001</v>
      </c>
      <c r="Q72" s="239"/>
      <c r="R72" s="157"/>
      <c r="S72" s="253" t="s">
        <v>182</v>
      </c>
      <c r="T72" s="258">
        <v>98604662.569000006</v>
      </c>
      <c r="U72" s="258">
        <v>958648</v>
      </c>
      <c r="V72" s="258">
        <v>568</v>
      </c>
      <c r="W72" s="258">
        <v>1020901</v>
      </c>
      <c r="X72" s="258">
        <v>1</v>
      </c>
      <c r="Y72" s="245"/>
      <c r="Z72" s="253" t="s">
        <v>601</v>
      </c>
      <c r="AA72" s="253">
        <v>11595286778.5</v>
      </c>
      <c r="AB72" s="253">
        <v>49398</v>
      </c>
      <c r="AC72" s="253">
        <v>3244</v>
      </c>
      <c r="AD72" s="253">
        <v>423846</v>
      </c>
      <c r="AE72" s="253">
        <v>1</v>
      </c>
      <c r="AF72" s="253"/>
      <c r="AG72" s="253" t="s">
        <v>601</v>
      </c>
      <c r="AH72" s="253">
        <v>230578037.14500001</v>
      </c>
      <c r="AI72" s="253">
        <v>959</v>
      </c>
      <c r="AJ72" s="253">
        <v>144</v>
      </c>
      <c r="AK72" s="253">
        <v>15476</v>
      </c>
      <c r="AL72" s="253">
        <v>1</v>
      </c>
      <c r="AM72" s="245"/>
      <c r="AN72" s="253" t="s">
        <v>597</v>
      </c>
      <c r="AO72" s="253">
        <v>0</v>
      </c>
      <c r="AP72" s="253">
        <v>0</v>
      </c>
      <c r="AQ72" s="253">
        <v>0</v>
      </c>
      <c r="AR72" s="253">
        <v>352</v>
      </c>
      <c r="AS72" s="253">
        <v>1</v>
      </c>
      <c r="AT72" s="245"/>
      <c r="AU72" s="253" t="s">
        <v>598</v>
      </c>
      <c r="AV72" s="253">
        <v>0</v>
      </c>
      <c r="AW72" s="253">
        <v>0</v>
      </c>
      <c r="AX72" s="253">
        <v>0</v>
      </c>
      <c r="AY72" s="253">
        <v>55</v>
      </c>
      <c r="AZ72" s="253">
        <v>1</v>
      </c>
      <c r="BA72" s="245"/>
      <c r="BB72" s="253" t="s">
        <v>619</v>
      </c>
      <c r="BC72" s="253">
        <v>0</v>
      </c>
      <c r="BD72" s="253">
        <v>0</v>
      </c>
      <c r="BE72" s="253">
        <v>0</v>
      </c>
      <c r="BF72" s="253">
        <v>0</v>
      </c>
      <c r="BG72" s="253">
        <v>1</v>
      </c>
      <c r="BH72" s="247" t="s">
        <v>597</v>
      </c>
      <c r="BI72" s="253">
        <v>0</v>
      </c>
      <c r="BJ72" s="253">
        <v>0</v>
      </c>
      <c r="BK72" s="253">
        <v>0</v>
      </c>
      <c r="BL72" s="253">
        <v>31</v>
      </c>
      <c r="BM72" s="253">
        <v>1</v>
      </c>
      <c r="BN72" s="253"/>
      <c r="BO72" s="247"/>
      <c r="BP72" s="263" t="s">
        <v>622</v>
      </c>
      <c r="BQ72" s="263">
        <v>4656660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305</v>
      </c>
      <c r="H73" s="223">
        <v>13371.93</v>
      </c>
      <c r="I73" s="164"/>
      <c r="J73" s="3"/>
      <c r="K73" s="228"/>
      <c r="L73" s="228"/>
      <c r="M73" s="228"/>
      <c r="O73" s="241" t="s">
        <v>58</v>
      </c>
      <c r="P73" s="241">
        <v>27094.229882489999</v>
      </c>
      <c r="Q73" s="239"/>
      <c r="R73" s="157"/>
      <c r="S73" s="247" t="s">
        <v>446</v>
      </c>
      <c r="T73" s="247">
        <v>330629494777.86688</v>
      </c>
      <c r="U73" s="247">
        <v>926523</v>
      </c>
      <c r="V73" s="247">
        <v>235349</v>
      </c>
      <c r="W73" s="247">
        <v>696149</v>
      </c>
      <c r="X73" s="247">
        <v>1</v>
      </c>
      <c r="Y73" s="245"/>
      <c r="Z73" s="253" t="s">
        <v>613</v>
      </c>
      <c r="AA73" s="253">
        <v>0</v>
      </c>
      <c r="AB73" s="253">
        <v>0</v>
      </c>
      <c r="AC73" s="253">
        <v>0</v>
      </c>
      <c r="AD73" s="253">
        <v>0</v>
      </c>
      <c r="AE73" s="253">
        <v>1</v>
      </c>
      <c r="AF73" s="253"/>
      <c r="AG73" s="253" t="s">
        <v>613</v>
      </c>
      <c r="AH73" s="253">
        <v>0</v>
      </c>
      <c r="AI73" s="253">
        <v>0</v>
      </c>
      <c r="AJ73" s="253">
        <v>0</v>
      </c>
      <c r="AK73" s="253">
        <v>0</v>
      </c>
      <c r="AL73" s="253">
        <v>1</v>
      </c>
      <c r="AM73" s="245"/>
      <c r="AN73" s="253" t="s">
        <v>598</v>
      </c>
      <c r="AO73" s="253">
        <v>224400</v>
      </c>
      <c r="AP73" s="253">
        <v>2</v>
      </c>
      <c r="AQ73" s="253">
        <v>1</v>
      </c>
      <c r="AR73" s="253">
        <v>1212</v>
      </c>
      <c r="AS73" s="253">
        <v>1</v>
      </c>
      <c r="AT73" s="245"/>
      <c r="AU73" s="253" t="s">
        <v>599</v>
      </c>
      <c r="AV73" s="253">
        <v>0</v>
      </c>
      <c r="AW73" s="253">
        <v>0</v>
      </c>
      <c r="AX73" s="253">
        <v>0</v>
      </c>
      <c r="AY73" s="253">
        <v>61</v>
      </c>
      <c r="AZ73" s="253">
        <v>1</v>
      </c>
      <c r="BA73" s="245"/>
      <c r="BB73" s="253" t="s">
        <v>617</v>
      </c>
      <c r="BC73" s="253">
        <v>0</v>
      </c>
      <c r="BD73" s="253">
        <v>0</v>
      </c>
      <c r="BE73" s="253">
        <v>0</v>
      </c>
      <c r="BF73" s="253">
        <v>0</v>
      </c>
      <c r="BG73" s="253">
        <v>1</v>
      </c>
      <c r="BH73" s="247" t="s">
        <v>598</v>
      </c>
      <c r="BI73" s="253">
        <v>0</v>
      </c>
      <c r="BJ73" s="253">
        <v>0</v>
      </c>
      <c r="BK73" s="253">
        <v>0</v>
      </c>
      <c r="BL73" s="253">
        <v>104</v>
      </c>
      <c r="BM73" s="253">
        <v>1</v>
      </c>
      <c r="BN73" s="253"/>
      <c r="BO73" s="247"/>
      <c r="BP73" s="263" t="s">
        <v>623</v>
      </c>
      <c r="BQ73" s="263">
        <v>1935672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550</v>
      </c>
      <c r="H74" s="223">
        <v>60880.116031359998</v>
      </c>
      <c r="I74" s="164"/>
      <c r="J74" s="3"/>
      <c r="K74" s="228"/>
      <c r="L74" s="228"/>
      <c r="M74" s="228"/>
      <c r="O74" s="241" t="s">
        <v>51</v>
      </c>
      <c r="P74" s="241">
        <v>29476.61313052</v>
      </c>
      <c r="Q74" s="239"/>
      <c r="R74" s="157"/>
      <c r="S74" s="247" t="s">
        <v>449</v>
      </c>
      <c r="T74" s="247">
        <v>1328911540.6788001</v>
      </c>
      <c r="U74" s="247">
        <v>2716798</v>
      </c>
      <c r="V74" s="247">
        <v>159</v>
      </c>
      <c r="W74" s="247">
        <v>10661603</v>
      </c>
      <c r="X74" s="247">
        <v>1</v>
      </c>
      <c r="Y74" s="245"/>
      <c r="Z74" s="253" t="s">
        <v>602</v>
      </c>
      <c r="AA74" s="253">
        <v>719656440.52999997</v>
      </c>
      <c r="AB74" s="253">
        <v>1516</v>
      </c>
      <c r="AC74" s="253">
        <v>224</v>
      </c>
      <c r="AD74" s="253">
        <v>4041</v>
      </c>
      <c r="AE74" s="253">
        <v>1</v>
      </c>
      <c r="AF74" s="253"/>
      <c r="AG74" s="253" t="s">
        <v>602</v>
      </c>
      <c r="AH74" s="253">
        <v>6002099.9900000002</v>
      </c>
      <c r="AI74" s="253">
        <v>13</v>
      </c>
      <c r="AJ74" s="253">
        <v>2</v>
      </c>
      <c r="AK74" s="253">
        <v>249</v>
      </c>
      <c r="AL74" s="253">
        <v>1</v>
      </c>
      <c r="AM74" s="245"/>
      <c r="AN74" s="253" t="s">
        <v>599</v>
      </c>
      <c r="AO74" s="253">
        <v>0</v>
      </c>
      <c r="AP74" s="253">
        <v>0</v>
      </c>
      <c r="AQ74" s="253">
        <v>0</v>
      </c>
      <c r="AR74" s="253">
        <v>1342</v>
      </c>
      <c r="AS74" s="253">
        <v>1</v>
      </c>
      <c r="AT74" s="245"/>
      <c r="AU74" s="253" t="s">
        <v>600</v>
      </c>
      <c r="AV74" s="253">
        <v>0</v>
      </c>
      <c r="AW74" s="253">
        <v>0</v>
      </c>
      <c r="AX74" s="253">
        <v>0</v>
      </c>
      <c r="AY74" s="253">
        <v>22</v>
      </c>
      <c r="AZ74" s="253">
        <v>1</v>
      </c>
      <c r="BA74" s="245"/>
      <c r="BB74" s="253" t="s">
        <v>596</v>
      </c>
      <c r="BC74" s="253">
        <v>135538394.80000001</v>
      </c>
      <c r="BD74" s="253">
        <v>1082</v>
      </c>
      <c r="BE74" s="253">
        <v>9</v>
      </c>
      <c r="BF74" s="253">
        <v>13790</v>
      </c>
      <c r="BG74" s="253">
        <v>1</v>
      </c>
      <c r="BH74" s="247" t="s">
        <v>599</v>
      </c>
      <c r="BI74" s="253">
        <v>1479200</v>
      </c>
      <c r="BJ74" s="253">
        <v>4</v>
      </c>
      <c r="BK74" s="253">
        <v>1</v>
      </c>
      <c r="BL74" s="253">
        <v>52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101</v>
      </c>
      <c r="H75" s="223">
        <v>336.16301034999998</v>
      </c>
      <c r="I75" s="164"/>
      <c r="J75" s="3"/>
      <c r="K75" s="228"/>
      <c r="L75" s="228"/>
      <c r="M75" s="228"/>
      <c r="O75" s="241" t="s">
        <v>305</v>
      </c>
      <c r="P75" s="241">
        <v>13719.97</v>
      </c>
      <c r="Q75" s="239"/>
      <c r="S75" s="254" t="s">
        <v>450</v>
      </c>
      <c r="T75" s="257">
        <v>8359.6</v>
      </c>
      <c r="U75" s="257">
        <v>2336589</v>
      </c>
      <c r="V75" s="257">
        <v>142</v>
      </c>
      <c r="W75" s="257">
        <v>10185479</v>
      </c>
      <c r="X75" s="257">
        <v>1</v>
      </c>
      <c r="Y75" s="245"/>
      <c r="Z75" s="253" t="s">
        <v>603</v>
      </c>
      <c r="AA75" s="253">
        <v>148661998.71000001</v>
      </c>
      <c r="AB75" s="253">
        <v>310</v>
      </c>
      <c r="AC75" s="253">
        <v>31</v>
      </c>
      <c r="AD75" s="253">
        <v>559</v>
      </c>
      <c r="AE75" s="253">
        <v>1</v>
      </c>
      <c r="AF75" s="253"/>
      <c r="AG75" s="253" t="s">
        <v>603</v>
      </c>
      <c r="AH75" s="253">
        <v>967720</v>
      </c>
      <c r="AI75" s="253">
        <v>2</v>
      </c>
      <c r="AJ75" s="253">
        <v>1</v>
      </c>
      <c r="AK75" s="253">
        <v>63</v>
      </c>
      <c r="AL75" s="253">
        <v>1</v>
      </c>
      <c r="AM75" s="245"/>
      <c r="AN75" s="253" t="s">
        <v>600</v>
      </c>
      <c r="AO75" s="253">
        <v>3311000</v>
      </c>
      <c r="AP75" s="253">
        <v>13</v>
      </c>
      <c r="AQ75" s="253">
        <v>3</v>
      </c>
      <c r="AR75" s="253">
        <v>332</v>
      </c>
      <c r="AS75" s="253">
        <v>1</v>
      </c>
      <c r="AT75" s="245"/>
      <c r="AU75" s="253" t="s">
        <v>601</v>
      </c>
      <c r="AV75" s="253">
        <v>369225021.22000003</v>
      </c>
      <c r="AW75" s="253">
        <v>1507</v>
      </c>
      <c r="AX75" s="253">
        <v>123</v>
      </c>
      <c r="AY75" s="253">
        <v>18296</v>
      </c>
      <c r="AZ75" s="253">
        <v>1</v>
      </c>
      <c r="BA75" s="245"/>
      <c r="BB75" s="253" t="s">
        <v>597</v>
      </c>
      <c r="BC75" s="253">
        <v>3991675</v>
      </c>
      <c r="BD75" s="253">
        <v>47</v>
      </c>
      <c r="BE75" s="253">
        <v>3</v>
      </c>
      <c r="BF75" s="253">
        <v>382</v>
      </c>
      <c r="BG75" s="253">
        <v>1</v>
      </c>
      <c r="BH75" s="247" t="s">
        <v>600</v>
      </c>
      <c r="BI75" s="253">
        <v>0</v>
      </c>
      <c r="BJ75" s="253">
        <v>0</v>
      </c>
      <c r="BK75" s="253">
        <v>0</v>
      </c>
      <c r="BL75" s="253">
        <v>22</v>
      </c>
      <c r="BM75" s="253">
        <v>1</v>
      </c>
      <c r="BN75" s="253"/>
      <c r="BO75" s="256" t="s">
        <v>478</v>
      </c>
      <c r="BP75" s="264" t="s">
        <v>566</v>
      </c>
      <c r="BQ75" s="264" t="s">
        <v>567</v>
      </c>
      <c r="BR75" s="264" t="s">
        <v>568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103</v>
      </c>
      <c r="H76" s="223">
        <v>591.11777497000003</v>
      </c>
      <c r="I76" s="164"/>
      <c r="J76" s="3"/>
      <c r="K76" s="228"/>
      <c r="L76" s="228"/>
      <c r="M76" s="228"/>
      <c r="O76" s="241" t="s">
        <v>550</v>
      </c>
      <c r="P76" s="241">
        <v>80949.805875420003</v>
      </c>
      <c r="Q76" s="239"/>
      <c r="R76" s="157"/>
      <c r="S76" s="253" t="s">
        <v>447</v>
      </c>
      <c r="T76" s="258">
        <v>19069909496.112</v>
      </c>
      <c r="U76" s="258">
        <v>1463689</v>
      </c>
      <c r="V76" s="258">
        <v>4258</v>
      </c>
      <c r="W76" s="258">
        <v>1391105</v>
      </c>
      <c r="X76" s="258">
        <v>1</v>
      </c>
      <c r="Y76" s="245"/>
      <c r="Z76" s="253" t="s">
        <v>604</v>
      </c>
      <c r="AA76" s="253">
        <v>21374017.475000001</v>
      </c>
      <c r="AB76" s="253">
        <v>101</v>
      </c>
      <c r="AC76" s="253">
        <v>8</v>
      </c>
      <c r="AD76" s="253">
        <v>154</v>
      </c>
      <c r="AE76" s="253">
        <v>1</v>
      </c>
      <c r="AF76" s="253"/>
      <c r="AG76" s="253" t="s">
        <v>604</v>
      </c>
      <c r="AH76" s="253">
        <v>0</v>
      </c>
      <c r="AI76" s="253">
        <v>0</v>
      </c>
      <c r="AJ76" s="253">
        <v>0</v>
      </c>
      <c r="AK76" s="253">
        <v>0</v>
      </c>
      <c r="AL76" s="253">
        <v>1</v>
      </c>
      <c r="AM76" s="245"/>
      <c r="AN76" s="253" t="s">
        <v>601</v>
      </c>
      <c r="AO76" s="253">
        <v>5756310838.0799999</v>
      </c>
      <c r="AP76" s="253">
        <v>23629</v>
      </c>
      <c r="AQ76" s="253">
        <v>2943</v>
      </c>
      <c r="AR76" s="253">
        <v>388981</v>
      </c>
      <c r="AS76" s="253">
        <v>1</v>
      </c>
      <c r="AT76" s="245"/>
      <c r="AU76" s="253" t="s">
        <v>613</v>
      </c>
      <c r="AV76" s="253">
        <v>0</v>
      </c>
      <c r="AW76" s="253">
        <v>0</v>
      </c>
      <c r="AX76" s="253">
        <v>0</v>
      </c>
      <c r="AY76" s="253">
        <v>4</v>
      </c>
      <c r="AZ76" s="253">
        <v>1</v>
      </c>
      <c r="BA76" s="245"/>
      <c r="BB76" s="253" t="s">
        <v>598</v>
      </c>
      <c r="BC76" s="253">
        <v>25687530.055</v>
      </c>
      <c r="BD76" s="253">
        <v>232</v>
      </c>
      <c r="BE76" s="253">
        <v>47</v>
      </c>
      <c r="BF76" s="253">
        <v>1980</v>
      </c>
      <c r="BG76" s="253">
        <v>1</v>
      </c>
      <c r="BH76" s="245" t="s">
        <v>601</v>
      </c>
      <c r="BI76" s="253">
        <v>832582841.48500001</v>
      </c>
      <c r="BJ76" s="253">
        <v>3407</v>
      </c>
      <c r="BK76" s="253">
        <v>177</v>
      </c>
      <c r="BL76" s="253">
        <v>15832</v>
      </c>
      <c r="BM76" s="253">
        <v>1</v>
      </c>
      <c r="BN76" s="253"/>
      <c r="BO76" s="247"/>
      <c r="BP76" s="263">
        <v>611118499695.1499</v>
      </c>
      <c r="BQ76" s="263">
        <v>2836047</v>
      </c>
      <c r="BR76" s="263">
        <v>365572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306</v>
      </c>
      <c r="H77" s="223">
        <v>4302.4711921300004</v>
      </c>
      <c r="I77" s="164"/>
      <c r="J77" s="3"/>
      <c r="K77" s="228"/>
      <c r="L77" s="228"/>
      <c r="M77" s="228"/>
      <c r="O77" s="241" t="s">
        <v>101</v>
      </c>
      <c r="P77" s="241">
        <v>378.60535348000002</v>
      </c>
      <c r="Q77" s="239"/>
      <c r="R77" s="157"/>
      <c r="S77" s="253"/>
      <c r="T77" s="258"/>
      <c r="U77" s="258"/>
      <c r="V77" s="258"/>
      <c r="W77" s="258"/>
      <c r="X77" s="258"/>
      <c r="Y77" s="245"/>
      <c r="Z77" s="253" t="s">
        <v>605</v>
      </c>
      <c r="AA77" s="253">
        <v>42338044</v>
      </c>
      <c r="AB77" s="253">
        <v>947</v>
      </c>
      <c r="AC77" s="253">
        <v>60</v>
      </c>
      <c r="AD77" s="253">
        <v>6337</v>
      </c>
      <c r="AE77" s="253">
        <v>1</v>
      </c>
      <c r="AF77" s="253"/>
      <c r="AG77" s="253" t="s">
        <v>605</v>
      </c>
      <c r="AH77" s="253">
        <v>1583000</v>
      </c>
      <c r="AI77" s="253">
        <v>35</v>
      </c>
      <c r="AJ77" s="253">
        <v>2</v>
      </c>
      <c r="AK77" s="253">
        <v>339</v>
      </c>
      <c r="AL77" s="253">
        <v>1</v>
      </c>
      <c r="AM77" s="245"/>
      <c r="AN77" s="253" t="s">
        <v>613</v>
      </c>
      <c r="AO77" s="253">
        <v>0</v>
      </c>
      <c r="AP77" s="253">
        <v>0</v>
      </c>
      <c r="AQ77" s="253">
        <v>0</v>
      </c>
      <c r="AR77" s="253">
        <v>88</v>
      </c>
      <c r="AS77" s="253">
        <v>1</v>
      </c>
      <c r="AT77" s="245"/>
      <c r="AU77" s="253" t="s">
        <v>602</v>
      </c>
      <c r="AV77" s="253">
        <v>13395299.98</v>
      </c>
      <c r="AW77" s="253">
        <v>25</v>
      </c>
      <c r="AX77" s="253">
        <v>6</v>
      </c>
      <c r="AY77" s="253">
        <v>781</v>
      </c>
      <c r="AZ77" s="253">
        <v>1</v>
      </c>
      <c r="BA77" s="245"/>
      <c r="BB77" s="253" t="s">
        <v>599</v>
      </c>
      <c r="BC77" s="253">
        <v>3328200</v>
      </c>
      <c r="BD77" s="253">
        <v>9</v>
      </c>
      <c r="BE77" s="253">
        <v>2</v>
      </c>
      <c r="BF77" s="253">
        <v>1293</v>
      </c>
      <c r="BG77" s="253">
        <v>1</v>
      </c>
      <c r="BH77" s="245" t="s">
        <v>613</v>
      </c>
      <c r="BI77" s="253">
        <v>0</v>
      </c>
      <c r="BJ77" s="253">
        <v>0</v>
      </c>
      <c r="BK77" s="253">
        <v>0</v>
      </c>
      <c r="BL77" s="253">
        <v>4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307</v>
      </c>
      <c r="H78" s="223">
        <v>190.05924544000001</v>
      </c>
      <c r="I78" s="164"/>
      <c r="J78" s="63"/>
      <c r="K78" s="228"/>
      <c r="L78" s="228"/>
      <c r="M78" s="228"/>
      <c r="O78" s="241" t="s">
        <v>103</v>
      </c>
      <c r="P78" s="241">
        <v>701.13539513000001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606</v>
      </c>
      <c r="AA78" s="253">
        <v>882100.8</v>
      </c>
      <c r="AB78" s="253">
        <v>60</v>
      </c>
      <c r="AC78" s="253">
        <v>2</v>
      </c>
      <c r="AD78" s="253">
        <v>1140</v>
      </c>
      <c r="AE78" s="253">
        <v>1</v>
      </c>
      <c r="AF78" s="253"/>
      <c r="AG78" s="253" t="s">
        <v>606</v>
      </c>
      <c r="AH78" s="253">
        <v>0</v>
      </c>
      <c r="AI78" s="253">
        <v>0</v>
      </c>
      <c r="AJ78" s="253">
        <v>0</v>
      </c>
      <c r="AK78" s="253">
        <v>30</v>
      </c>
      <c r="AL78" s="253">
        <v>1</v>
      </c>
      <c r="AM78" s="245"/>
      <c r="AN78" s="253" t="s">
        <v>602</v>
      </c>
      <c r="AO78" s="253">
        <v>1001195260.39</v>
      </c>
      <c r="AP78" s="253">
        <v>1945</v>
      </c>
      <c r="AQ78" s="253">
        <v>204</v>
      </c>
      <c r="AR78" s="253">
        <v>14396</v>
      </c>
      <c r="AS78" s="253">
        <v>1</v>
      </c>
      <c r="AT78" s="245"/>
      <c r="AU78" s="253" t="s">
        <v>603</v>
      </c>
      <c r="AV78" s="253">
        <v>0</v>
      </c>
      <c r="AW78" s="253">
        <v>0</v>
      </c>
      <c r="AX78" s="253">
        <v>0</v>
      </c>
      <c r="AY78" s="253">
        <v>104</v>
      </c>
      <c r="AZ78" s="253">
        <v>1</v>
      </c>
      <c r="BA78" s="245"/>
      <c r="BB78" s="253" t="s">
        <v>600</v>
      </c>
      <c r="BC78" s="253">
        <v>4923000</v>
      </c>
      <c r="BD78" s="253">
        <v>18</v>
      </c>
      <c r="BE78" s="253">
        <v>2</v>
      </c>
      <c r="BF78" s="253">
        <v>484</v>
      </c>
      <c r="BG78" s="253">
        <v>1</v>
      </c>
      <c r="BH78" s="245" t="s">
        <v>602</v>
      </c>
      <c r="BI78" s="253">
        <v>32505440.09</v>
      </c>
      <c r="BJ78" s="253">
        <v>63</v>
      </c>
      <c r="BK78" s="253">
        <v>8</v>
      </c>
      <c r="BL78" s="253">
        <v>656</v>
      </c>
      <c r="BM78" s="253">
        <v>1</v>
      </c>
      <c r="BN78" s="253"/>
      <c r="BO78" s="256" t="s">
        <v>497</v>
      </c>
      <c r="BP78" s="264" t="s">
        <v>566</v>
      </c>
      <c r="BQ78" s="264" t="s">
        <v>567</v>
      </c>
      <c r="BR78" s="264" t="s">
        <v>568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308</v>
      </c>
      <c r="H79" s="223">
        <v>7489.94775888</v>
      </c>
      <c r="I79" s="164"/>
      <c r="J79" s="63"/>
      <c r="K79" s="228"/>
      <c r="L79" s="228"/>
      <c r="M79" s="228"/>
      <c r="O79" s="241" t="s">
        <v>306</v>
      </c>
      <c r="P79" s="241">
        <v>4300.2067336099999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607</v>
      </c>
      <c r="AA79" s="253">
        <v>5826893627.4700003</v>
      </c>
      <c r="AB79" s="253">
        <v>22724</v>
      </c>
      <c r="AC79" s="253">
        <v>3235</v>
      </c>
      <c r="AD79" s="253">
        <v>197921</v>
      </c>
      <c r="AE79" s="253">
        <v>1</v>
      </c>
      <c r="AF79" s="253"/>
      <c r="AG79" s="253" t="s">
        <v>607</v>
      </c>
      <c r="AH79" s="253">
        <v>381229534.72000003</v>
      </c>
      <c r="AI79" s="253">
        <v>1497</v>
      </c>
      <c r="AJ79" s="253">
        <v>124</v>
      </c>
      <c r="AK79" s="253">
        <v>7564</v>
      </c>
      <c r="AL79" s="253">
        <v>1</v>
      </c>
      <c r="AM79" s="245"/>
      <c r="AN79" s="253" t="s">
        <v>603</v>
      </c>
      <c r="AO79" s="253">
        <v>17775149.98</v>
      </c>
      <c r="AP79" s="253">
        <v>37</v>
      </c>
      <c r="AQ79" s="253">
        <v>8</v>
      </c>
      <c r="AR79" s="253">
        <v>2688</v>
      </c>
      <c r="AS79" s="253">
        <v>1</v>
      </c>
      <c r="AT79" s="245"/>
      <c r="AU79" s="253" t="s">
        <v>604</v>
      </c>
      <c r="AV79" s="253">
        <v>0</v>
      </c>
      <c r="AW79" s="253">
        <v>0</v>
      </c>
      <c r="AX79" s="253">
        <v>0</v>
      </c>
      <c r="AY79" s="253">
        <v>84</v>
      </c>
      <c r="AZ79" s="253">
        <v>1</v>
      </c>
      <c r="BA79" s="245"/>
      <c r="BB79" s="253" t="s">
        <v>601</v>
      </c>
      <c r="BC79" s="253">
        <v>10841293826.555</v>
      </c>
      <c r="BD79" s="253">
        <v>42572</v>
      </c>
      <c r="BE79" s="253">
        <v>4325</v>
      </c>
      <c r="BF79" s="253">
        <v>382280</v>
      </c>
      <c r="BG79" s="253">
        <v>1</v>
      </c>
      <c r="BH79" s="245" t="s">
        <v>603</v>
      </c>
      <c r="BI79" s="253">
        <v>0</v>
      </c>
      <c r="BJ79" s="253">
        <v>0</v>
      </c>
      <c r="BK79" s="253">
        <v>0</v>
      </c>
      <c r="BL79" s="253">
        <v>76</v>
      </c>
      <c r="BM79" s="253">
        <v>1</v>
      </c>
      <c r="BN79" s="253"/>
      <c r="BO79" s="251"/>
      <c r="BP79" s="263">
        <v>2612394933.2599802</v>
      </c>
      <c r="BQ79" s="263">
        <v>297832</v>
      </c>
      <c r="BR79" s="263">
        <v>28555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309</v>
      </c>
      <c r="H80" s="223">
        <v>12.215766240000001</v>
      </c>
      <c r="I80" s="164"/>
      <c r="J80" s="3"/>
      <c r="K80" s="228"/>
      <c r="L80" s="228"/>
      <c r="M80" s="228"/>
      <c r="O80" s="241" t="s">
        <v>307</v>
      </c>
      <c r="P80" s="241">
        <v>213.49580293</v>
      </c>
      <c r="Q80" s="239"/>
      <c r="R80" s="153" t="s">
        <v>457</v>
      </c>
      <c r="S80" s="253" t="s">
        <v>565</v>
      </c>
      <c r="T80" s="258" t="s">
        <v>566</v>
      </c>
      <c r="U80" s="258" t="s">
        <v>567</v>
      </c>
      <c r="V80" s="258" t="s">
        <v>568</v>
      </c>
      <c r="W80" s="258" t="s">
        <v>569</v>
      </c>
      <c r="X80" s="258" t="s">
        <v>570</v>
      </c>
      <c r="Y80" s="245"/>
      <c r="Z80" s="245" t="s">
        <v>608</v>
      </c>
      <c r="AA80" s="245">
        <v>31082332841.879978</v>
      </c>
      <c r="AB80" s="245">
        <v>127382</v>
      </c>
      <c r="AC80" s="245">
        <v>21935</v>
      </c>
      <c r="AD80" s="245">
        <v>830282</v>
      </c>
      <c r="AE80" s="245">
        <v>1</v>
      </c>
      <c r="AF80" s="245"/>
      <c r="AG80" s="245" t="s">
        <v>608</v>
      </c>
      <c r="AH80" s="245">
        <v>2639077953.2599902</v>
      </c>
      <c r="AI80" s="245">
        <v>10617</v>
      </c>
      <c r="AJ80" s="245">
        <v>1072</v>
      </c>
      <c r="AK80" s="245">
        <v>32479</v>
      </c>
      <c r="AL80" s="245">
        <v>1</v>
      </c>
      <c r="AM80" s="245"/>
      <c r="AN80" s="245" t="s">
        <v>604</v>
      </c>
      <c r="AO80" s="245">
        <v>11955124.99</v>
      </c>
      <c r="AP80" s="245">
        <v>47</v>
      </c>
      <c r="AQ80" s="245">
        <v>5</v>
      </c>
      <c r="AR80" s="245">
        <v>1914</v>
      </c>
      <c r="AS80" s="245">
        <v>1</v>
      </c>
      <c r="AT80" s="245"/>
      <c r="AU80" s="245" t="s">
        <v>605</v>
      </c>
      <c r="AV80" s="245">
        <v>0</v>
      </c>
      <c r="AW80" s="245">
        <v>0</v>
      </c>
      <c r="AX80" s="245">
        <v>0</v>
      </c>
      <c r="AY80" s="245">
        <v>1</v>
      </c>
      <c r="AZ80" s="245">
        <v>1</v>
      </c>
      <c r="BA80" s="245"/>
      <c r="BB80" s="245" t="s">
        <v>613</v>
      </c>
      <c r="BC80" s="245">
        <v>0</v>
      </c>
      <c r="BD80" s="245">
        <v>0</v>
      </c>
      <c r="BE80" s="245">
        <v>0</v>
      </c>
      <c r="BF80" s="245">
        <v>88</v>
      </c>
      <c r="BG80" s="245">
        <v>1</v>
      </c>
      <c r="BH80" s="245" t="s">
        <v>604</v>
      </c>
      <c r="BI80" s="245">
        <v>0</v>
      </c>
      <c r="BJ80" s="245">
        <v>0</v>
      </c>
      <c r="BK80" s="245">
        <v>0</v>
      </c>
      <c r="BL80" s="245">
        <v>59</v>
      </c>
      <c r="BM80" s="245">
        <v>1</v>
      </c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311</v>
      </c>
      <c r="H81" s="223">
        <v>890.19754050999995</v>
      </c>
      <c r="I81" s="164"/>
      <c r="J81" s="3"/>
      <c r="K81" s="228"/>
      <c r="L81" s="228"/>
      <c r="M81" s="228"/>
      <c r="O81" s="241" t="s">
        <v>308</v>
      </c>
      <c r="P81" s="241">
        <v>9405.8387017299992</v>
      </c>
      <c r="Q81" s="239"/>
      <c r="R81" s="157"/>
      <c r="S81" s="253" t="s">
        <v>451</v>
      </c>
      <c r="T81" s="258">
        <v>0</v>
      </c>
      <c r="U81" s="258">
        <v>0</v>
      </c>
      <c r="V81" s="258">
        <v>0</v>
      </c>
      <c r="W81" s="258">
        <v>312130</v>
      </c>
      <c r="X81" s="258">
        <v>0</v>
      </c>
      <c r="Y81" s="245"/>
      <c r="Z81" s="245" t="s">
        <v>609</v>
      </c>
      <c r="AA81" s="245">
        <v>17414099592.790001</v>
      </c>
      <c r="AB81" s="245">
        <v>72312</v>
      </c>
      <c r="AC81" s="245">
        <v>9619</v>
      </c>
      <c r="AD81" s="245">
        <v>641801</v>
      </c>
      <c r="AE81" s="245">
        <v>1</v>
      </c>
      <c r="AF81" s="245"/>
      <c r="AG81" s="245" t="s">
        <v>609</v>
      </c>
      <c r="AH81" s="245">
        <v>1331536675.0899999</v>
      </c>
      <c r="AI81" s="245">
        <v>5588</v>
      </c>
      <c r="AJ81" s="245">
        <v>353</v>
      </c>
      <c r="AK81" s="245">
        <v>26827</v>
      </c>
      <c r="AL81" s="245">
        <v>1</v>
      </c>
      <c r="AM81" s="245"/>
      <c r="AN81" s="245" t="s">
        <v>605</v>
      </c>
      <c r="AO81" s="245">
        <v>0</v>
      </c>
      <c r="AP81" s="245">
        <v>0</v>
      </c>
      <c r="AQ81" s="245">
        <v>0</v>
      </c>
      <c r="AR81" s="245">
        <v>22</v>
      </c>
      <c r="AS81" s="245">
        <v>1</v>
      </c>
      <c r="AT81" s="245"/>
      <c r="AU81" s="245" t="s">
        <v>606</v>
      </c>
      <c r="AV81" s="245">
        <v>0</v>
      </c>
      <c r="AW81" s="245">
        <v>0</v>
      </c>
      <c r="AX81" s="245">
        <v>0</v>
      </c>
      <c r="AY81" s="245">
        <v>10</v>
      </c>
      <c r="AZ81" s="245">
        <v>1</v>
      </c>
      <c r="BA81" s="245"/>
      <c r="BB81" s="245" t="s">
        <v>602</v>
      </c>
      <c r="BC81" s="245">
        <v>373439216.38</v>
      </c>
      <c r="BD81" s="245">
        <v>703</v>
      </c>
      <c r="BE81" s="245">
        <v>208</v>
      </c>
      <c r="BF81" s="245">
        <v>15829</v>
      </c>
      <c r="BG81" s="245">
        <v>1</v>
      </c>
      <c r="BH81" s="245" t="s">
        <v>605</v>
      </c>
      <c r="BI81" s="245">
        <v>0</v>
      </c>
      <c r="BJ81" s="245">
        <v>0</v>
      </c>
      <c r="BK81" s="245">
        <v>0</v>
      </c>
      <c r="BL81" s="245">
        <v>0</v>
      </c>
      <c r="BM81" s="245">
        <v>1</v>
      </c>
      <c r="BN81" s="245"/>
      <c r="BO81" s="256" t="s">
        <v>479</v>
      </c>
      <c r="BP81" s="264" t="s">
        <v>566</v>
      </c>
      <c r="BQ81" s="264" t="s">
        <v>567</v>
      </c>
      <c r="BR81" s="264" t="s">
        <v>568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312</v>
      </c>
      <c r="H82" s="223">
        <v>6186.8422175100004</v>
      </c>
      <c r="I82" s="164"/>
      <c r="J82" s="157"/>
      <c r="K82" s="228"/>
      <c r="L82" s="228"/>
      <c r="M82" s="228"/>
      <c r="O82" s="241" t="s">
        <v>309</v>
      </c>
      <c r="P82" s="241">
        <v>421.44393538000003</v>
      </c>
      <c r="Q82" s="239"/>
      <c r="R82" s="157"/>
      <c r="S82" s="253" t="s">
        <v>448</v>
      </c>
      <c r="T82" s="258">
        <v>0</v>
      </c>
      <c r="U82" s="258">
        <v>0</v>
      </c>
      <c r="V82" s="258">
        <v>0</v>
      </c>
      <c r="W82" s="258">
        <v>0</v>
      </c>
      <c r="X82" s="258">
        <v>0</v>
      </c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 t="s">
        <v>606</v>
      </c>
      <c r="AO82" s="245">
        <v>635768</v>
      </c>
      <c r="AP82" s="245">
        <v>40</v>
      </c>
      <c r="AQ82" s="245">
        <v>7</v>
      </c>
      <c r="AR82" s="245">
        <v>320</v>
      </c>
      <c r="AS82" s="245">
        <v>1</v>
      </c>
      <c r="AT82" s="245"/>
      <c r="AU82" s="245" t="s">
        <v>607</v>
      </c>
      <c r="AV82" s="245">
        <v>533155962.17500001</v>
      </c>
      <c r="AW82" s="245">
        <v>2363</v>
      </c>
      <c r="AX82" s="245">
        <v>190</v>
      </c>
      <c r="AY82" s="245">
        <v>11271</v>
      </c>
      <c r="AZ82" s="245">
        <v>1</v>
      </c>
      <c r="BA82" s="245"/>
      <c r="BB82" s="245" t="s">
        <v>603</v>
      </c>
      <c r="BC82" s="245">
        <v>13931100</v>
      </c>
      <c r="BD82" s="245">
        <v>28</v>
      </c>
      <c r="BE82" s="245">
        <v>9</v>
      </c>
      <c r="BF82" s="245">
        <v>1991</v>
      </c>
      <c r="BG82" s="245">
        <v>1</v>
      </c>
      <c r="BH82" s="245" t="s">
        <v>606</v>
      </c>
      <c r="BI82" s="245">
        <v>0</v>
      </c>
      <c r="BJ82" s="245">
        <v>0</v>
      </c>
      <c r="BK82" s="245">
        <v>0</v>
      </c>
      <c r="BL82" s="245">
        <v>10</v>
      </c>
      <c r="BM82" s="245">
        <v>1</v>
      </c>
      <c r="BN82" s="245"/>
      <c r="BO82" s="247"/>
      <c r="BP82" s="263">
        <v>531785251385.51837</v>
      </c>
      <c r="BQ82" s="263">
        <v>2541852</v>
      </c>
      <c r="BR82" s="263">
        <v>323086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313</v>
      </c>
      <c r="H83" s="223">
        <v>1069.22355612</v>
      </c>
      <c r="I83" s="164"/>
      <c r="J83" s="157"/>
      <c r="K83" s="228"/>
      <c r="L83" s="228"/>
      <c r="M83" s="228"/>
      <c r="O83" s="241" t="s">
        <v>311</v>
      </c>
      <c r="P83" s="241">
        <v>1301.7878091600001</v>
      </c>
      <c r="Q83" s="239"/>
      <c r="R83" s="157"/>
      <c r="S83" s="253" t="s">
        <v>446</v>
      </c>
      <c r="T83" s="258">
        <v>43384558</v>
      </c>
      <c r="U83" s="258">
        <v>22792</v>
      </c>
      <c r="V83" s="258">
        <v>24</v>
      </c>
      <c r="W83" s="258">
        <v>1207622</v>
      </c>
      <c r="X83" s="258">
        <v>0</v>
      </c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 t="s">
        <v>607</v>
      </c>
      <c r="AO83" s="245">
        <v>5960042647.6549997</v>
      </c>
      <c r="AP83" s="245">
        <v>25790</v>
      </c>
      <c r="AQ83" s="245">
        <v>2798</v>
      </c>
      <c r="AR83" s="245">
        <v>275826</v>
      </c>
      <c r="AS83" s="245">
        <v>1</v>
      </c>
      <c r="AT83" s="245"/>
      <c r="AU83" s="245" t="s">
        <v>608</v>
      </c>
      <c r="AV83" s="245">
        <v>368597091.72000003</v>
      </c>
      <c r="AW83" s="245">
        <v>1822</v>
      </c>
      <c r="AX83" s="245">
        <v>559</v>
      </c>
      <c r="AY83" s="245">
        <v>41197</v>
      </c>
      <c r="AZ83" s="245">
        <v>1</v>
      </c>
      <c r="BA83" s="245"/>
      <c r="BB83" s="245" t="s">
        <v>604</v>
      </c>
      <c r="BC83" s="245">
        <v>10195924.9925</v>
      </c>
      <c r="BD83" s="245">
        <v>38</v>
      </c>
      <c r="BE83" s="245">
        <v>5</v>
      </c>
      <c r="BF83" s="245">
        <v>1677</v>
      </c>
      <c r="BG83" s="245">
        <v>1</v>
      </c>
      <c r="BH83" s="245" t="s">
        <v>607</v>
      </c>
      <c r="BI83" s="245">
        <v>608350328.44500005</v>
      </c>
      <c r="BJ83" s="245">
        <v>2731</v>
      </c>
      <c r="BK83" s="245">
        <v>227</v>
      </c>
      <c r="BL83" s="245">
        <v>8991</v>
      </c>
      <c r="BM83" s="245">
        <v>1</v>
      </c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60</v>
      </c>
      <c r="H84" s="223">
        <v>9931.4379136700009</v>
      </c>
      <c r="I84" s="164"/>
      <c r="J84" s="157"/>
      <c r="K84" s="228"/>
      <c r="L84" s="228"/>
      <c r="M84" s="228"/>
      <c r="O84" s="241" t="s">
        <v>312</v>
      </c>
      <c r="P84" s="241">
        <v>11628.201701739999</v>
      </c>
      <c r="Q84" s="239"/>
      <c r="R84" s="157"/>
      <c r="S84" s="253" t="s">
        <v>449</v>
      </c>
      <c r="T84" s="258">
        <v>0</v>
      </c>
      <c r="U84" s="258">
        <v>0</v>
      </c>
      <c r="V84" s="258">
        <v>0</v>
      </c>
      <c r="W84" s="258">
        <v>0</v>
      </c>
      <c r="X84" s="258">
        <v>0</v>
      </c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 t="s">
        <v>608</v>
      </c>
      <c r="AO84" s="245">
        <v>14169646510.32</v>
      </c>
      <c r="AP84" s="245">
        <v>72180</v>
      </c>
      <c r="AQ84" s="245">
        <v>12590</v>
      </c>
      <c r="AR84" s="245">
        <v>919179</v>
      </c>
      <c r="AS84" s="245">
        <v>1</v>
      </c>
      <c r="AT84" s="245"/>
      <c r="AU84" s="245" t="s">
        <v>609</v>
      </c>
      <c r="AV84" s="245">
        <v>231248759.03999999</v>
      </c>
      <c r="AW84" s="245">
        <v>1083</v>
      </c>
      <c r="AX84" s="245">
        <v>363</v>
      </c>
      <c r="AY84" s="245">
        <v>27368</v>
      </c>
      <c r="AZ84" s="245">
        <v>1</v>
      </c>
      <c r="BA84" s="245"/>
      <c r="BB84" s="245" t="s">
        <v>605</v>
      </c>
      <c r="BC84" s="245">
        <v>50012.5</v>
      </c>
      <c r="BD84" s="245">
        <v>1</v>
      </c>
      <c r="BE84" s="245">
        <v>1</v>
      </c>
      <c r="BF84" s="245">
        <v>19</v>
      </c>
      <c r="BG84" s="245">
        <v>1</v>
      </c>
      <c r="BH84" s="245" t="s">
        <v>608</v>
      </c>
      <c r="BI84" s="245">
        <v>1066468805.2</v>
      </c>
      <c r="BJ84" s="245">
        <v>5487</v>
      </c>
      <c r="BK84" s="245">
        <v>800</v>
      </c>
      <c r="BL84" s="245">
        <v>39399</v>
      </c>
      <c r="BM84" s="245">
        <v>1</v>
      </c>
      <c r="BN84" s="245"/>
      <c r="BO84" s="256" t="s">
        <v>480</v>
      </c>
      <c r="BP84" s="264" t="s">
        <v>566</v>
      </c>
      <c r="BQ84" s="264" t="s">
        <v>567</v>
      </c>
      <c r="BR84" s="264" t="s">
        <v>568</v>
      </c>
    </row>
    <row r="85" spans="1:70" x14ac:dyDescent="0.2">
      <c r="A85" s="149"/>
      <c r="B85" s="190" t="s">
        <v>557</v>
      </c>
      <c r="C85" s="193">
        <v>42115</v>
      </c>
      <c r="D85" s="190">
        <v>1374.4866460000001</v>
      </c>
      <c r="E85" s="223">
        <v>1</v>
      </c>
      <c r="F85" s="213"/>
      <c r="G85" s="223" t="s">
        <v>53</v>
      </c>
      <c r="H85" s="223">
        <v>11085.156857460001</v>
      </c>
      <c r="I85" s="164"/>
      <c r="J85" s="157"/>
      <c r="K85" s="228"/>
      <c r="L85" s="228"/>
      <c r="M85" s="228"/>
      <c r="O85" s="241" t="s">
        <v>313</v>
      </c>
      <c r="P85" s="241">
        <v>1182.00672964</v>
      </c>
      <c r="Q85" s="239"/>
      <c r="R85" s="157"/>
      <c r="S85" s="253" t="s">
        <v>447</v>
      </c>
      <c r="T85" s="258">
        <v>30545695.34</v>
      </c>
      <c r="U85" s="258">
        <v>41909</v>
      </c>
      <c r="V85" s="258">
        <v>50</v>
      </c>
      <c r="W85" s="258">
        <v>2539610</v>
      </c>
      <c r="X85" s="258">
        <v>0</v>
      </c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 t="s">
        <v>609</v>
      </c>
      <c r="AO85" s="245">
        <v>7759898020.8000002</v>
      </c>
      <c r="AP85" s="245">
        <v>37435</v>
      </c>
      <c r="AQ85" s="245">
        <v>6166</v>
      </c>
      <c r="AR85" s="245">
        <v>635737</v>
      </c>
      <c r="AS85" s="245">
        <v>1</v>
      </c>
      <c r="AT85" s="245"/>
      <c r="AU85" s="245"/>
      <c r="AV85" s="245"/>
      <c r="AW85" s="245"/>
      <c r="AX85" s="245"/>
      <c r="AY85" s="245"/>
      <c r="AZ85" s="245"/>
      <c r="BA85" s="245"/>
      <c r="BB85" s="245" t="s">
        <v>606</v>
      </c>
      <c r="BC85" s="245">
        <v>661584</v>
      </c>
      <c r="BD85" s="245">
        <v>40</v>
      </c>
      <c r="BE85" s="245">
        <v>6</v>
      </c>
      <c r="BF85" s="245">
        <v>290</v>
      </c>
      <c r="BG85" s="245">
        <v>1</v>
      </c>
      <c r="BH85" s="245" t="s">
        <v>620</v>
      </c>
      <c r="BI85" s="245">
        <v>0</v>
      </c>
      <c r="BJ85" s="245">
        <v>0</v>
      </c>
      <c r="BK85" s="245">
        <v>0</v>
      </c>
      <c r="BL85" s="245">
        <v>0</v>
      </c>
      <c r="BM85" s="245">
        <v>1</v>
      </c>
      <c r="BN85" s="245"/>
      <c r="BO85" s="247"/>
      <c r="BP85" s="263">
        <v>3039688705.1499901</v>
      </c>
      <c r="BQ85" s="263">
        <v>274121</v>
      </c>
      <c r="BR85" s="263">
        <v>28236</v>
      </c>
    </row>
    <row r="86" spans="1:70" x14ac:dyDescent="0.2">
      <c r="A86" s="149"/>
      <c r="B86" s="190" t="s">
        <v>558</v>
      </c>
      <c r="C86" s="193">
        <v>42118</v>
      </c>
      <c r="D86" s="190">
        <v>1225.1600000000001</v>
      </c>
      <c r="E86" s="223">
        <v>1</v>
      </c>
      <c r="F86" s="213"/>
      <c r="G86" s="223" t="s">
        <v>551</v>
      </c>
      <c r="H86" s="223">
        <v>15745.427026900001</v>
      </c>
      <c r="I86" s="164"/>
      <c r="J86" s="157"/>
      <c r="K86" s="228"/>
      <c r="L86" s="228"/>
      <c r="M86" s="228"/>
      <c r="O86" s="241" t="s">
        <v>60</v>
      </c>
      <c r="P86" s="241">
        <v>11717.33356284</v>
      </c>
      <c r="Q86" s="239"/>
      <c r="R86" s="157"/>
      <c r="S86" s="253" t="s">
        <v>571</v>
      </c>
      <c r="T86" s="258">
        <v>0</v>
      </c>
      <c r="U86" s="258">
        <v>0</v>
      </c>
      <c r="V86" s="258">
        <v>0</v>
      </c>
      <c r="W86" s="258">
        <v>0</v>
      </c>
      <c r="X86" s="258">
        <v>1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 t="s">
        <v>607</v>
      </c>
      <c r="BC86" s="245">
        <v>8615622979.7199993</v>
      </c>
      <c r="BD86" s="245">
        <v>36599</v>
      </c>
      <c r="BE86" s="245">
        <v>4715</v>
      </c>
      <c r="BF86" s="245">
        <v>229672</v>
      </c>
      <c r="BG86" s="245">
        <v>1</v>
      </c>
      <c r="BH86" s="245" t="s">
        <v>609</v>
      </c>
      <c r="BI86" s="245">
        <v>844998187.05999994</v>
      </c>
      <c r="BJ86" s="245">
        <v>4176</v>
      </c>
      <c r="BK86" s="245">
        <v>319</v>
      </c>
      <c r="BL86" s="245">
        <v>24211</v>
      </c>
      <c r="BM86" s="245">
        <v>1</v>
      </c>
      <c r="BN86" s="245"/>
      <c r="BO86" s="245"/>
      <c r="BP86" s="245"/>
      <c r="BQ86" s="245"/>
      <c r="BR86" s="245"/>
    </row>
    <row r="87" spans="1:70" x14ac:dyDescent="0.2">
      <c r="A87" s="151"/>
      <c r="B87" s="190" t="s">
        <v>559</v>
      </c>
      <c r="C87" s="193">
        <v>42143</v>
      </c>
      <c r="D87" s="190">
        <v>1310.1099999999999</v>
      </c>
      <c r="E87" s="223">
        <v>1</v>
      </c>
      <c r="F87" s="213"/>
      <c r="G87" s="223" t="s">
        <v>552</v>
      </c>
      <c r="H87" s="223">
        <v>16494.151800539999</v>
      </c>
      <c r="I87" s="164"/>
      <c r="J87" s="157"/>
      <c r="K87" s="228"/>
      <c r="L87" s="228"/>
      <c r="M87" s="228"/>
      <c r="O87" s="241" t="s">
        <v>53</v>
      </c>
      <c r="P87" s="241">
        <v>12946.927274510001</v>
      </c>
      <c r="Q87" s="239"/>
      <c r="R87" s="157"/>
      <c r="S87" s="253" t="s">
        <v>451</v>
      </c>
      <c r="T87" s="258">
        <v>0</v>
      </c>
      <c r="U87" s="258">
        <v>0</v>
      </c>
      <c r="V87" s="258">
        <v>0</v>
      </c>
      <c r="W87" s="258">
        <v>470128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 t="s">
        <v>608</v>
      </c>
      <c r="BC87" s="245">
        <v>18011591897.630001</v>
      </c>
      <c r="BD87" s="245">
        <v>88003</v>
      </c>
      <c r="BE87" s="245">
        <v>15416</v>
      </c>
      <c r="BF87" s="245">
        <v>886997</v>
      </c>
      <c r="BG87" s="245">
        <v>1</v>
      </c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569</v>
      </c>
      <c r="BQ87" s="245"/>
      <c r="BR87" s="245"/>
    </row>
    <row r="88" spans="1:70" x14ac:dyDescent="0.2">
      <c r="A88" s="151"/>
      <c r="B88" s="190" t="s">
        <v>560</v>
      </c>
      <c r="C88" s="193">
        <v>42312</v>
      </c>
      <c r="D88" s="190">
        <v>1315.4607390000001</v>
      </c>
      <c r="E88" s="223">
        <v>1</v>
      </c>
      <c r="F88" s="209"/>
      <c r="G88" s="223" t="s">
        <v>314</v>
      </c>
      <c r="H88" s="223">
        <v>6483.0323608799999</v>
      </c>
      <c r="I88" s="164"/>
      <c r="J88" s="157"/>
      <c r="K88" s="228"/>
      <c r="L88" s="228"/>
      <c r="M88" s="228"/>
      <c r="O88" s="241" t="s">
        <v>551</v>
      </c>
      <c r="P88" s="241">
        <v>18319.751832829999</v>
      </c>
      <c r="Q88" s="239"/>
      <c r="R88" s="157"/>
      <c r="S88" s="247" t="s">
        <v>448</v>
      </c>
      <c r="T88" s="247">
        <v>0</v>
      </c>
      <c r="U88" s="247">
        <v>9598</v>
      </c>
      <c r="V88" s="247">
        <v>213</v>
      </c>
      <c r="W88" s="247">
        <v>971285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 t="s">
        <v>620</v>
      </c>
      <c r="BC88" s="245">
        <v>0</v>
      </c>
      <c r="BD88" s="245">
        <v>0</v>
      </c>
      <c r="BE88" s="245">
        <v>0</v>
      </c>
      <c r="BF88" s="245">
        <v>0</v>
      </c>
      <c r="BG88" s="245">
        <v>1</v>
      </c>
      <c r="BH88" s="245"/>
      <c r="BI88" s="245"/>
      <c r="BJ88" s="245"/>
      <c r="BK88" s="245"/>
      <c r="BL88" s="245"/>
      <c r="BM88" s="245"/>
      <c r="BN88" s="245"/>
      <c r="BO88" s="247"/>
      <c r="BP88" s="263">
        <v>128092</v>
      </c>
      <c r="BQ88" s="245"/>
      <c r="BR88" s="245"/>
    </row>
    <row r="89" spans="1:70" x14ac:dyDescent="0.2">
      <c r="A89" s="14"/>
      <c r="B89" s="190" t="s">
        <v>561</v>
      </c>
      <c r="C89" s="193">
        <v>42312</v>
      </c>
      <c r="D89" s="190">
        <v>1209.71</v>
      </c>
      <c r="E89" s="223">
        <v>1</v>
      </c>
      <c r="F89" s="209"/>
      <c r="G89" s="223" t="s">
        <v>315</v>
      </c>
      <c r="H89" s="223">
        <v>14877.70913207</v>
      </c>
      <c r="I89" s="164"/>
      <c r="J89" s="157"/>
      <c r="K89" s="228"/>
      <c r="L89" s="228"/>
      <c r="M89" s="228"/>
      <c r="O89" s="241" t="s">
        <v>552</v>
      </c>
      <c r="P89" s="241">
        <v>19060.730076150001</v>
      </c>
      <c r="Q89" s="239"/>
      <c r="S89" s="245" t="s">
        <v>182</v>
      </c>
      <c r="T89" s="245">
        <v>1358533.5449999999</v>
      </c>
      <c r="U89" s="245">
        <v>13539</v>
      </c>
      <c r="V89" s="245">
        <v>39</v>
      </c>
      <c r="W89" s="245">
        <v>1020901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 t="s">
        <v>609</v>
      </c>
      <c r="BC89" s="245">
        <v>12959789263.74</v>
      </c>
      <c r="BD89" s="245">
        <v>60557</v>
      </c>
      <c r="BE89" s="245">
        <v>7835</v>
      </c>
      <c r="BF89" s="245">
        <v>575482</v>
      </c>
      <c r="BG89" s="245">
        <v>1</v>
      </c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562</v>
      </c>
      <c r="C90" s="193">
        <v>42594</v>
      </c>
      <c r="D90" s="190">
        <v>1327.18</v>
      </c>
      <c r="E90" s="223">
        <v>1</v>
      </c>
      <c r="F90" s="213"/>
      <c r="G90" s="223" t="s">
        <v>316</v>
      </c>
      <c r="H90" s="223">
        <v>5334.2768095499996</v>
      </c>
      <c r="I90" s="164"/>
      <c r="J90" s="157"/>
      <c r="K90" s="228"/>
      <c r="L90" s="228"/>
      <c r="M90" s="228"/>
      <c r="O90" s="241" t="s">
        <v>314</v>
      </c>
      <c r="P90" s="241">
        <v>7576.5495361000003</v>
      </c>
      <c r="Q90" s="239"/>
      <c r="S90" s="245" t="s">
        <v>446</v>
      </c>
      <c r="T90" s="245">
        <v>16840645011.927099</v>
      </c>
      <c r="U90" s="245">
        <v>47650</v>
      </c>
      <c r="V90" s="245">
        <v>12591</v>
      </c>
      <c r="W90" s="245">
        <v>696149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569</v>
      </c>
      <c r="BQ90" s="245"/>
      <c r="BR90" s="245"/>
    </row>
    <row r="91" spans="1:70" x14ac:dyDescent="0.2">
      <c r="A91" s="149"/>
      <c r="B91" s="190" t="s">
        <v>563</v>
      </c>
      <c r="C91" s="193">
        <v>42118</v>
      </c>
      <c r="D91" s="190">
        <v>1238.74</v>
      </c>
      <c r="E91" s="223">
        <v>1</v>
      </c>
      <c r="F91" s="213"/>
      <c r="G91" s="223" t="s">
        <v>72</v>
      </c>
      <c r="H91" s="223">
        <v>10026.513768700001</v>
      </c>
      <c r="I91" s="164"/>
      <c r="J91" s="157"/>
      <c r="K91" s="228"/>
      <c r="L91" s="228"/>
      <c r="M91" s="228"/>
      <c r="O91" s="241" t="s">
        <v>315</v>
      </c>
      <c r="P91" s="241">
        <v>31654.9029667</v>
      </c>
      <c r="Q91" s="239"/>
      <c r="S91" s="245" t="s">
        <v>449</v>
      </c>
      <c r="T91" s="245">
        <v>4679467.67</v>
      </c>
      <c r="U91" s="245">
        <v>5200</v>
      </c>
      <c r="V91" s="245">
        <v>5</v>
      </c>
      <c r="W91" s="245">
        <v>10661603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47200</v>
      </c>
      <c r="BQ91" s="245"/>
      <c r="BR91" s="245"/>
    </row>
    <row r="92" spans="1:70" x14ac:dyDescent="0.2">
      <c r="A92" s="149"/>
      <c r="B92" s="190" t="s">
        <v>564</v>
      </c>
      <c r="C92" s="193">
        <v>42118</v>
      </c>
      <c r="D92" s="190">
        <v>1315.36</v>
      </c>
      <c r="E92" s="223">
        <v>1</v>
      </c>
      <c r="F92" s="213"/>
      <c r="G92" s="223" t="s">
        <v>74</v>
      </c>
      <c r="H92" s="223">
        <v>25610.504913100001</v>
      </c>
      <c r="I92" s="164"/>
      <c r="J92" s="157"/>
      <c r="K92" s="228"/>
      <c r="L92" s="228"/>
      <c r="M92" s="228"/>
      <c r="O92" s="241" t="s">
        <v>316</v>
      </c>
      <c r="P92" s="241">
        <v>5210.3087568000001</v>
      </c>
      <c r="Q92" s="239"/>
      <c r="S92" s="245" t="s">
        <v>450</v>
      </c>
      <c r="T92" s="245">
        <v>0</v>
      </c>
      <c r="U92" s="245">
        <v>4435</v>
      </c>
      <c r="V92" s="245">
        <v>4</v>
      </c>
      <c r="W92" s="245">
        <v>10185479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76</v>
      </c>
      <c r="H93" s="223">
        <v>45380.015238499996</v>
      </c>
      <c r="I93" s="164"/>
      <c r="J93" s="157"/>
      <c r="K93" s="228"/>
      <c r="L93" s="228"/>
      <c r="M93" s="228"/>
      <c r="O93" s="241" t="s">
        <v>74</v>
      </c>
      <c r="P93" s="241">
        <v>26479.361679900001</v>
      </c>
      <c r="Q93" s="239"/>
      <c r="S93" s="245" t="s">
        <v>447</v>
      </c>
      <c r="T93" s="245">
        <v>337257076.10000002</v>
      </c>
      <c r="U93" s="245">
        <v>61736</v>
      </c>
      <c r="V93" s="245">
        <v>234</v>
      </c>
      <c r="W93" s="245">
        <v>1391105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548</v>
      </c>
      <c r="C94" s="193">
        <v>43060</v>
      </c>
      <c r="D94" s="190">
        <v>61066.919248099999</v>
      </c>
      <c r="E94" s="223">
        <v>1</v>
      </c>
      <c r="F94" s="209"/>
      <c r="G94" s="223" t="s">
        <v>78</v>
      </c>
      <c r="H94" s="223">
        <v>49357.900411809998</v>
      </c>
      <c r="I94" s="164"/>
      <c r="J94" s="157"/>
      <c r="K94" s="228"/>
      <c r="L94" s="228"/>
      <c r="M94" s="228"/>
      <c r="O94" s="241" t="s">
        <v>76</v>
      </c>
      <c r="P94" s="241">
        <v>48646.015366580003</v>
      </c>
      <c r="Q94" s="239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549</v>
      </c>
      <c r="C95" s="193">
        <v>43125</v>
      </c>
      <c r="D95" s="190">
        <v>59875.289842060003</v>
      </c>
      <c r="E95" s="223">
        <v>1</v>
      </c>
      <c r="F95" s="209"/>
      <c r="G95" s="223" t="s">
        <v>317</v>
      </c>
      <c r="H95" s="223">
        <v>11364.723670560001</v>
      </c>
      <c r="I95" s="164"/>
      <c r="J95" s="157"/>
      <c r="K95" s="228"/>
      <c r="L95" s="228"/>
      <c r="M95" s="228"/>
      <c r="O95" s="241" t="s">
        <v>78</v>
      </c>
      <c r="P95" s="241">
        <v>83717.139951110003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318</v>
      </c>
      <c r="H96" s="223">
        <v>7205.95966967</v>
      </c>
      <c r="I96" s="164"/>
      <c r="J96" s="157"/>
      <c r="K96" s="228"/>
      <c r="L96" s="228"/>
      <c r="M96" s="228"/>
      <c r="O96" s="241" t="s">
        <v>317</v>
      </c>
      <c r="P96" s="241">
        <v>11481.96890199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88</v>
      </c>
      <c r="H97" s="223">
        <v>5000.6083070200002</v>
      </c>
      <c r="I97" s="164"/>
      <c r="K97" s="228"/>
      <c r="L97" s="228"/>
      <c r="M97" s="228"/>
      <c r="O97" s="241" t="s">
        <v>318</v>
      </c>
      <c r="P97" s="241">
        <v>6398.3000686200003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80</v>
      </c>
      <c r="H98" s="223">
        <v>21271.95978401</v>
      </c>
      <c r="I98" s="164"/>
      <c r="K98" s="228"/>
      <c r="L98" s="228"/>
      <c r="M98" s="228"/>
      <c r="O98" s="241" t="s">
        <v>88</v>
      </c>
      <c r="P98" s="241">
        <v>7640.7974108300004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319</v>
      </c>
      <c r="H99" s="223">
        <v>600.67213571000002</v>
      </c>
      <c r="I99" s="164"/>
      <c r="K99" s="228"/>
      <c r="L99" s="228"/>
      <c r="M99" s="228"/>
      <c r="O99" s="241" t="s">
        <v>80</v>
      </c>
      <c r="P99" s="241">
        <v>24511.453546370001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86</v>
      </c>
      <c r="H100" s="223">
        <v>5079.23038249</v>
      </c>
      <c r="I100" s="164"/>
      <c r="K100" s="228"/>
      <c r="L100" s="228"/>
      <c r="M100" s="228"/>
      <c r="O100" s="241" t="s">
        <v>319</v>
      </c>
      <c r="P100" s="241">
        <v>749.31359893000001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320</v>
      </c>
      <c r="H101" s="223">
        <v>4672.6130024599997</v>
      </c>
      <c r="I101" s="164"/>
      <c r="K101" s="228"/>
      <c r="L101" s="228"/>
      <c r="M101" s="228"/>
      <c r="O101" s="241" t="s">
        <v>86</v>
      </c>
      <c r="P101" s="241">
        <v>6798.3794076800004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82</v>
      </c>
      <c r="H102" s="223">
        <v>41151.731689660002</v>
      </c>
      <c r="I102" s="164"/>
      <c r="K102" s="228"/>
      <c r="L102" s="228"/>
      <c r="M102" s="228"/>
      <c r="O102" s="241" t="s">
        <v>320</v>
      </c>
      <c r="P102" s="241">
        <v>4447.5571100799998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84</v>
      </c>
      <c r="H103" s="223">
        <v>29142.837923110001</v>
      </c>
      <c r="I103" s="164"/>
      <c r="K103" s="228"/>
      <c r="L103" s="228"/>
      <c r="M103" s="228"/>
      <c r="O103" s="241" t="s">
        <v>82</v>
      </c>
      <c r="P103" s="241">
        <v>42102.197569540003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321</v>
      </c>
      <c r="H104" s="223">
        <v>7695.5620940500003</v>
      </c>
      <c r="I104" s="164"/>
      <c r="K104" s="228"/>
      <c r="L104" s="228"/>
      <c r="M104" s="228"/>
      <c r="O104" s="241" t="s">
        <v>84</v>
      </c>
      <c r="P104" s="241">
        <v>48436.714270420001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322</v>
      </c>
      <c r="H105" s="223">
        <v>1820.2971172</v>
      </c>
      <c r="I105" s="164"/>
      <c r="K105" s="228"/>
      <c r="L105" s="228"/>
      <c r="M105" s="228"/>
      <c r="O105" s="241" t="s">
        <v>321</v>
      </c>
      <c r="P105" s="241">
        <v>8977.3827696200005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323</v>
      </c>
      <c r="H106" s="223">
        <v>163.95328921999999</v>
      </c>
      <c r="I106" s="164"/>
      <c r="K106" s="228"/>
      <c r="L106" s="228"/>
      <c r="M106" s="228"/>
      <c r="O106" s="241" t="s">
        <v>322</v>
      </c>
      <c r="P106" s="241">
        <v>1699.92832529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553</v>
      </c>
      <c r="H107" s="223">
        <v>13038.360335650001</v>
      </c>
      <c r="I107" s="164"/>
      <c r="K107" s="228"/>
      <c r="L107" s="228"/>
      <c r="M107" s="228"/>
      <c r="O107" s="241" t="s">
        <v>323</v>
      </c>
      <c r="P107" s="241">
        <v>224.21259785000001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554</v>
      </c>
      <c r="H108" s="223">
        <v>12540.06779146</v>
      </c>
      <c r="I108" s="164"/>
      <c r="K108" s="228"/>
      <c r="L108" s="228"/>
      <c r="M108" s="228"/>
      <c r="O108" s="241" t="s">
        <v>553</v>
      </c>
      <c r="P108" s="241">
        <v>17716.01094004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555</v>
      </c>
      <c r="H109" s="223">
        <v>10025.30050908</v>
      </c>
      <c r="I109" s="164"/>
      <c r="K109" s="228"/>
      <c r="L109" s="228"/>
      <c r="M109" s="228"/>
      <c r="O109" s="241" t="s">
        <v>554</v>
      </c>
      <c r="P109" s="241">
        <v>17001.425095179999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324</v>
      </c>
      <c r="H110" s="223">
        <v>9031.8262766400003</v>
      </c>
      <c r="I110" s="164"/>
      <c r="K110" s="228"/>
      <c r="L110" s="228"/>
      <c r="M110" s="228"/>
      <c r="O110" s="241" t="s">
        <v>555</v>
      </c>
      <c r="P110" s="241">
        <v>12858.81369838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325</v>
      </c>
      <c r="H111" s="223">
        <v>83788.441458800007</v>
      </c>
      <c r="I111" s="164"/>
      <c r="K111" s="228"/>
      <c r="L111" s="228"/>
      <c r="M111" s="228"/>
      <c r="O111" s="241" t="s">
        <v>324</v>
      </c>
      <c r="P111" s="241">
        <v>7707.7742410800001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326</v>
      </c>
      <c r="H112" s="223">
        <v>42785.880673250002</v>
      </c>
      <c r="I112" s="164"/>
      <c r="K112" s="228"/>
      <c r="L112" s="228"/>
      <c r="M112" s="228"/>
      <c r="O112" s="241" t="s">
        <v>325</v>
      </c>
      <c r="P112" s="241">
        <v>66554.982836990006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327</v>
      </c>
      <c r="H113" s="223">
        <v>1070.18950389</v>
      </c>
      <c r="I113" s="164"/>
      <c r="K113" s="228"/>
      <c r="L113" s="228"/>
      <c r="M113" s="228"/>
      <c r="O113" s="241" t="s">
        <v>326</v>
      </c>
      <c r="P113" s="241">
        <v>38273.291624639998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190</v>
      </c>
      <c r="H114" s="223">
        <v>671.80403998999998</v>
      </c>
      <c r="I114" s="164"/>
      <c r="K114" s="228"/>
      <c r="L114" s="228"/>
      <c r="M114" s="228"/>
      <c r="O114" s="241" t="s">
        <v>327</v>
      </c>
      <c r="P114" s="241">
        <v>1606.8170928100001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329</v>
      </c>
      <c r="H115" s="223">
        <v>3272.7560829600002</v>
      </c>
      <c r="I115" s="164"/>
      <c r="K115" s="228"/>
      <c r="L115" s="228"/>
      <c r="M115" s="228"/>
      <c r="O115" s="241" t="s">
        <v>190</v>
      </c>
      <c r="P115" s="241">
        <v>896.66783926999994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330</v>
      </c>
      <c r="H116" s="223">
        <v>3622.1414136200001</v>
      </c>
      <c r="I116" s="164"/>
      <c r="K116" s="228"/>
      <c r="L116" s="228"/>
      <c r="M116" s="228"/>
      <c r="O116" s="241" t="s">
        <v>329</v>
      </c>
      <c r="P116" s="241">
        <v>3807.9464629499998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331</v>
      </c>
      <c r="H117" s="223">
        <v>624.76961287999995</v>
      </c>
      <c r="I117" s="164"/>
      <c r="K117" s="228"/>
      <c r="L117" s="228"/>
      <c r="M117" s="228"/>
      <c r="O117" s="241" t="s">
        <v>330</v>
      </c>
      <c r="P117" s="241">
        <v>5000.6896731799998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333</v>
      </c>
      <c r="H118" s="223">
        <v>63.023345820000003</v>
      </c>
      <c r="I118" s="164"/>
      <c r="K118" s="228"/>
      <c r="L118" s="228"/>
      <c r="M118" s="228"/>
      <c r="O118" s="241" t="s">
        <v>331</v>
      </c>
      <c r="P118" s="241">
        <v>1038.3953444599999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334</v>
      </c>
      <c r="H119" s="223">
        <v>113.21629908</v>
      </c>
      <c r="I119" s="164"/>
      <c r="K119" s="228"/>
      <c r="L119" s="228"/>
      <c r="M119" s="228"/>
      <c r="O119" s="241" t="s">
        <v>337</v>
      </c>
      <c r="P119" s="241">
        <v>52570.202037770003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335</v>
      </c>
      <c r="H120" s="223">
        <v>47.594635519999997</v>
      </c>
      <c r="I120" s="164"/>
      <c r="K120" s="228"/>
      <c r="L120" s="228"/>
      <c r="M120" s="228"/>
      <c r="O120" s="241" t="s">
        <v>338</v>
      </c>
      <c r="P120" s="241">
        <v>3996.0885612400002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336</v>
      </c>
      <c r="H121" s="223">
        <v>81.937968960000006</v>
      </c>
      <c r="I121" s="164"/>
      <c r="K121" s="228"/>
      <c r="L121" s="228"/>
      <c r="M121" s="228"/>
      <c r="O121" s="241" t="s">
        <v>339</v>
      </c>
      <c r="P121" s="241">
        <v>58980.107623830001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337</v>
      </c>
      <c r="H122" s="223">
        <v>44656.888873069998</v>
      </c>
      <c r="I122" s="164"/>
      <c r="K122" s="228"/>
      <c r="L122" s="228"/>
      <c r="M122" s="228"/>
      <c r="O122" s="241" t="s">
        <v>340</v>
      </c>
      <c r="P122" s="241">
        <v>12946.927274510001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338</v>
      </c>
      <c r="H123" s="223">
        <v>3461.8854716699998</v>
      </c>
      <c r="I123" s="164"/>
      <c r="K123" s="228"/>
      <c r="L123" s="228"/>
      <c r="M123" s="228"/>
      <c r="O123" s="241" t="s">
        <v>341</v>
      </c>
      <c r="P123" s="241">
        <v>850.48650082999995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339</v>
      </c>
      <c r="H124" s="223">
        <v>50663.935090730003</v>
      </c>
      <c r="I124" s="164"/>
      <c r="K124" s="228"/>
      <c r="L124" s="228"/>
      <c r="M124" s="228"/>
      <c r="O124" s="241" t="s">
        <v>342</v>
      </c>
      <c r="P124" s="241">
        <v>10815.769217429999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340</v>
      </c>
      <c r="H125" s="223">
        <v>11085.156857460001</v>
      </c>
      <c r="I125" s="164"/>
      <c r="K125" s="228"/>
      <c r="L125" s="228"/>
      <c r="M125" s="228"/>
      <c r="O125" s="241" t="s">
        <v>343</v>
      </c>
      <c r="P125" s="241">
        <v>3226.7789191400002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341</v>
      </c>
      <c r="H126" s="223">
        <v>826.41464067000004</v>
      </c>
      <c r="I126" s="164"/>
      <c r="K126" s="228"/>
      <c r="L126" s="228"/>
      <c r="M126" s="228"/>
      <c r="O126" s="241" t="s">
        <v>344</v>
      </c>
      <c r="P126" s="241">
        <v>11717.33356284</v>
      </c>
    </row>
    <row r="127" spans="2:16" x14ac:dyDescent="0.2">
      <c r="B127" s="190" t="s">
        <v>303</v>
      </c>
      <c r="C127" s="193">
        <v>43432</v>
      </c>
      <c r="D127" s="190">
        <v>13757.9516</v>
      </c>
      <c r="E127" s="223">
        <v>1</v>
      </c>
      <c r="F127" s="209"/>
      <c r="G127" s="223" t="s">
        <v>343</v>
      </c>
      <c r="H127" s="223">
        <v>2734.8622909000001</v>
      </c>
      <c r="I127" s="164"/>
      <c r="K127" s="228"/>
      <c r="L127" s="228"/>
      <c r="M127" s="228"/>
      <c r="O127" s="241" t="s">
        <v>346</v>
      </c>
      <c r="P127" s="241">
        <v>8170.52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344</v>
      </c>
      <c r="H128" s="223">
        <v>9931.4379136700009</v>
      </c>
      <c r="I128" s="164"/>
      <c r="K128" s="228"/>
      <c r="L128" s="228"/>
      <c r="M128" s="228"/>
      <c r="O128" s="241" t="s">
        <v>347</v>
      </c>
      <c r="P128" s="241">
        <v>15824.01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345</v>
      </c>
      <c r="H129" s="223">
        <v>22547.26</v>
      </c>
      <c r="I129" s="164"/>
      <c r="K129" s="228"/>
      <c r="L129" s="228"/>
      <c r="M129" s="228"/>
      <c r="O129" s="241" t="s">
        <v>348</v>
      </c>
      <c r="P129" s="241">
        <v>4131.6899999999996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346</v>
      </c>
      <c r="H130" s="223">
        <v>7878.01</v>
      </c>
      <c r="I130" s="164"/>
      <c r="K130" s="228"/>
      <c r="L130" s="228"/>
      <c r="M130" s="228"/>
      <c r="O130" s="241" t="s">
        <v>349</v>
      </c>
      <c r="P130" s="241">
        <v>4611.25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347</v>
      </c>
      <c r="H131" s="223">
        <v>13850.18</v>
      </c>
      <c r="I131" s="164"/>
      <c r="K131" s="228"/>
      <c r="L131" s="228"/>
      <c r="M131" s="228"/>
      <c r="O131" s="241" t="s">
        <v>350</v>
      </c>
      <c r="P131" s="241">
        <v>3064.79</v>
      </c>
    </row>
    <row r="132" spans="2:16" x14ac:dyDescent="0.2">
      <c r="B132" s="190" t="s">
        <v>550</v>
      </c>
      <c r="C132" s="193">
        <v>43060</v>
      </c>
      <c r="D132" s="190">
        <v>85296.650230529995</v>
      </c>
      <c r="E132" s="223">
        <v>1</v>
      </c>
      <c r="F132" s="209"/>
      <c r="G132" s="223" t="s">
        <v>348</v>
      </c>
      <c r="H132" s="223">
        <v>3578.5</v>
      </c>
      <c r="I132" s="164"/>
      <c r="K132" s="228"/>
      <c r="L132" s="228"/>
      <c r="M132" s="228"/>
      <c r="O132" s="241" t="s">
        <v>351</v>
      </c>
      <c r="P132" s="241">
        <v>21064.720000000001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349</v>
      </c>
      <c r="H133" s="223">
        <v>4321.2299999999996</v>
      </c>
      <c r="I133" s="164"/>
      <c r="K133" s="228"/>
      <c r="L133" s="228"/>
      <c r="M133" s="228"/>
      <c r="O133" s="241" t="s">
        <v>352</v>
      </c>
      <c r="P133" s="241">
        <v>2819.25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350</v>
      </c>
      <c r="H134" s="223">
        <v>2633.49</v>
      </c>
      <c r="I134" s="164"/>
      <c r="K134" s="228"/>
      <c r="L134" s="228"/>
      <c r="M134" s="228"/>
      <c r="O134" s="241" t="s">
        <v>353</v>
      </c>
      <c r="P134" s="241">
        <v>9518.61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351</v>
      </c>
      <c r="H135" s="223">
        <v>20793.25</v>
      </c>
      <c r="I135" s="164"/>
      <c r="K135" s="228"/>
      <c r="L135" s="228"/>
      <c r="M135" s="228"/>
      <c r="O135" s="241" t="s">
        <v>354</v>
      </c>
      <c r="P135" s="241">
        <v>6634.17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352</v>
      </c>
      <c r="H136" s="223">
        <v>2677.56</v>
      </c>
      <c r="I136" s="164"/>
      <c r="K136" s="228"/>
      <c r="L136" s="228"/>
      <c r="M136" s="228"/>
      <c r="O136" s="241" t="s">
        <v>355</v>
      </c>
      <c r="P136" s="241">
        <v>5313.19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353</v>
      </c>
      <c r="H137" s="223">
        <v>6038.82</v>
      </c>
      <c r="I137" s="164"/>
      <c r="K137" s="228"/>
      <c r="L137" s="228"/>
      <c r="M137" s="228"/>
      <c r="O137" s="241" t="s">
        <v>356</v>
      </c>
      <c r="P137" s="241">
        <v>7636.16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354</v>
      </c>
      <c r="H138" s="223">
        <v>5111.46</v>
      </c>
      <c r="I138" s="164"/>
      <c r="K138" s="228"/>
      <c r="L138" s="228"/>
      <c r="M138" s="228"/>
      <c r="O138" s="241" t="s">
        <v>357</v>
      </c>
      <c r="P138" s="241">
        <v>20412.189999999999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355</v>
      </c>
      <c r="H139" s="223">
        <v>4728.46</v>
      </c>
      <c r="I139" s="164"/>
      <c r="K139" s="228"/>
      <c r="L139" s="228"/>
      <c r="M139" s="228"/>
      <c r="O139" s="241" t="s">
        <v>358</v>
      </c>
      <c r="P139" s="241">
        <v>14131.9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356</v>
      </c>
      <c r="H140" s="223">
        <v>7640.18</v>
      </c>
      <c r="I140" s="164"/>
      <c r="K140" s="228"/>
      <c r="L140" s="228"/>
      <c r="M140" s="228"/>
      <c r="O140" s="241" t="s">
        <v>359</v>
      </c>
      <c r="P140" s="241">
        <v>16285.11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357</v>
      </c>
      <c r="H141" s="223">
        <v>18171.43</v>
      </c>
      <c r="I141" s="164"/>
      <c r="K141" s="228"/>
      <c r="L141" s="228"/>
      <c r="M141" s="228"/>
      <c r="O141" s="241" t="s">
        <v>360</v>
      </c>
      <c r="P141" s="241">
        <v>50302.68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358</v>
      </c>
      <c r="H142" s="223">
        <v>11253.35</v>
      </c>
      <c r="I142" s="164"/>
      <c r="K142" s="228"/>
      <c r="L142" s="228"/>
      <c r="M142" s="228"/>
      <c r="O142" s="241" t="s">
        <v>361</v>
      </c>
      <c r="P142" s="241">
        <v>11417.39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359</v>
      </c>
      <c r="H143" s="223">
        <v>472.03</v>
      </c>
      <c r="I143" s="164"/>
      <c r="K143" s="228"/>
      <c r="L143" s="228"/>
      <c r="M143" s="228"/>
      <c r="O143" s="241" t="s">
        <v>362</v>
      </c>
      <c r="P143" s="241">
        <v>16079.64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360</v>
      </c>
      <c r="H144" s="223">
        <v>34398.33</v>
      </c>
      <c r="I144" s="164"/>
      <c r="K144" s="228"/>
      <c r="L144" s="228"/>
      <c r="M144" s="228"/>
      <c r="O144" s="241" t="s">
        <v>363</v>
      </c>
      <c r="P144" s="241">
        <v>27222.42</v>
      </c>
    </row>
    <row r="145" spans="2:16" x14ac:dyDescent="0.2">
      <c r="B145" s="190" t="s">
        <v>551</v>
      </c>
      <c r="C145" s="193">
        <v>43125</v>
      </c>
      <c r="D145" s="190">
        <v>19449.716547939999</v>
      </c>
      <c r="E145" s="223">
        <v>1</v>
      </c>
      <c r="F145" s="209"/>
      <c r="G145" s="223" t="s">
        <v>361</v>
      </c>
      <c r="H145" s="223">
        <v>6074.68</v>
      </c>
      <c r="I145" s="164"/>
      <c r="K145" s="228"/>
      <c r="L145" s="228"/>
      <c r="M145" s="228"/>
      <c r="O145" s="241" t="s">
        <v>364</v>
      </c>
      <c r="P145" s="241">
        <v>29858.92</v>
      </c>
    </row>
    <row r="146" spans="2:16" x14ac:dyDescent="0.2">
      <c r="B146" s="190" t="s">
        <v>552</v>
      </c>
      <c r="C146" s="193">
        <v>43125</v>
      </c>
      <c r="D146" s="190">
        <v>20280.098055819999</v>
      </c>
      <c r="E146" s="223">
        <v>1</v>
      </c>
      <c r="F146" s="209"/>
      <c r="G146" s="223" t="s">
        <v>362</v>
      </c>
      <c r="H146" s="223">
        <v>13758.88</v>
      </c>
      <c r="I146" s="164"/>
      <c r="K146" s="228"/>
      <c r="L146" s="228"/>
      <c r="M146" s="228"/>
      <c r="O146" s="241" t="s">
        <v>365</v>
      </c>
      <c r="P146" s="241">
        <v>10938.54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363</v>
      </c>
      <c r="H147" s="223">
        <v>12794.45</v>
      </c>
      <c r="I147" s="164"/>
      <c r="K147" s="228"/>
      <c r="L147" s="228"/>
      <c r="M147" s="228"/>
      <c r="O147" s="241" t="s">
        <v>366</v>
      </c>
      <c r="P147" s="241">
        <v>103112.79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364</v>
      </c>
      <c r="H148" s="223">
        <v>29553.51</v>
      </c>
      <c r="I148" s="164"/>
      <c r="K148" s="228"/>
      <c r="L148" s="228"/>
      <c r="M148" s="228"/>
      <c r="O148" s="241" t="s">
        <v>367</v>
      </c>
      <c r="P148" s="241">
        <v>5936.78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365</v>
      </c>
      <c r="H149" s="223">
        <v>12319.32</v>
      </c>
      <c r="I149" s="164"/>
      <c r="K149" s="228"/>
      <c r="L149" s="228"/>
      <c r="M149" s="228"/>
      <c r="O149" s="241" t="s">
        <v>368</v>
      </c>
      <c r="P149" s="241">
        <v>4977.75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366</v>
      </c>
      <c r="H150" s="223">
        <v>82659.820000000007</v>
      </c>
      <c r="I150" s="164"/>
      <c r="K150" s="228"/>
      <c r="L150" s="228"/>
      <c r="M150" s="228"/>
      <c r="O150" s="241" t="s">
        <v>369</v>
      </c>
      <c r="P150" s="241">
        <v>8663.85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367</v>
      </c>
      <c r="H151" s="223">
        <v>6237.2</v>
      </c>
      <c r="I151" s="164"/>
      <c r="K151" s="228"/>
      <c r="L151" s="228"/>
      <c r="M151" s="228"/>
      <c r="O151" s="241" t="s">
        <v>370</v>
      </c>
      <c r="P151" s="241">
        <v>10417.030000000001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368</v>
      </c>
      <c r="H152" s="223">
        <v>5330.22</v>
      </c>
      <c r="I152" s="164"/>
      <c r="K152" s="228"/>
      <c r="L152" s="228"/>
      <c r="M152" s="228"/>
      <c r="O152" s="241" t="s">
        <v>371</v>
      </c>
      <c r="P152" s="241">
        <v>15725.23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369</v>
      </c>
      <c r="H153" s="223">
        <v>6335.36</v>
      </c>
      <c r="I153" s="164"/>
      <c r="K153" s="228"/>
      <c r="L153" s="228"/>
      <c r="M153" s="228"/>
      <c r="O153" s="241" t="s">
        <v>372</v>
      </c>
      <c r="P153" s="241">
        <v>12044.86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370</v>
      </c>
      <c r="H154" s="223">
        <v>12206.48</v>
      </c>
      <c r="I154" s="164"/>
      <c r="K154" s="228"/>
      <c r="L154" s="228"/>
      <c r="M154" s="228"/>
      <c r="O154" s="241" t="s">
        <v>373</v>
      </c>
      <c r="P154" s="241">
        <v>12060.5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371</v>
      </c>
      <c r="H155" s="223">
        <v>19797.05</v>
      </c>
      <c r="I155" s="164"/>
      <c r="K155" s="228"/>
      <c r="L155" s="228"/>
      <c r="M155" s="228"/>
      <c r="O155" s="241" t="s">
        <v>374</v>
      </c>
      <c r="P155" s="241">
        <v>7112.54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372</v>
      </c>
      <c r="H156" s="223">
        <v>13321.44</v>
      </c>
      <c r="I156" s="164"/>
      <c r="K156" s="228"/>
      <c r="L156" s="228"/>
      <c r="M156" s="228"/>
      <c r="O156" s="241" t="s">
        <v>375</v>
      </c>
      <c r="P156" s="241">
        <v>8446.6200000000008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373</v>
      </c>
      <c r="H157" s="223">
        <v>8031.59</v>
      </c>
      <c r="I157" s="164"/>
      <c r="K157" s="228"/>
      <c r="L157" s="228"/>
      <c r="M157" s="228"/>
      <c r="O157" s="241" t="s">
        <v>376</v>
      </c>
      <c r="P157" s="241">
        <v>11349.88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374</v>
      </c>
      <c r="H158" s="223">
        <v>5403.64</v>
      </c>
      <c r="I158" s="164"/>
      <c r="K158" s="228"/>
      <c r="L158" s="228"/>
      <c r="M158" s="228"/>
      <c r="O158" s="241" t="s">
        <v>377</v>
      </c>
      <c r="P158" s="241">
        <v>19135.23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375</v>
      </c>
      <c r="H159" s="223">
        <v>7233.75</v>
      </c>
      <c r="I159" s="164"/>
      <c r="K159" s="228"/>
      <c r="L159" s="228"/>
      <c r="M159" s="228"/>
      <c r="O159" s="241" t="s">
        <v>380</v>
      </c>
      <c r="P159" s="241">
        <v>5337.19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376</v>
      </c>
      <c r="H160" s="223">
        <v>8221.0400000000009</v>
      </c>
      <c r="I160" s="164"/>
      <c r="K160" s="228"/>
      <c r="L160" s="228"/>
      <c r="M160" s="228"/>
      <c r="O160" s="241" t="s">
        <v>381</v>
      </c>
      <c r="P160" s="241">
        <v>10866.98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377</v>
      </c>
      <c r="H161" s="223">
        <v>11513.06</v>
      </c>
      <c r="I161" s="164"/>
      <c r="K161" s="228"/>
      <c r="L161" s="228"/>
      <c r="M161" s="228"/>
      <c r="O161" s="241" t="s">
        <v>382</v>
      </c>
      <c r="P161" s="241">
        <v>23370.83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379</v>
      </c>
      <c r="H162" s="223">
        <v>22547.26</v>
      </c>
      <c r="I162" s="164"/>
      <c r="K162" s="228"/>
      <c r="L162" s="228"/>
      <c r="M162" s="228"/>
      <c r="O162" s="241" t="s">
        <v>383</v>
      </c>
      <c r="P162" s="241">
        <v>21094.9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380</v>
      </c>
      <c r="H163" s="223">
        <v>4991.41</v>
      </c>
      <c r="I163" s="164"/>
      <c r="K163" s="228"/>
      <c r="L163" s="228"/>
      <c r="M163" s="228"/>
      <c r="O163" s="241" t="s">
        <v>384</v>
      </c>
      <c r="P163" s="241">
        <v>41375.699999999997</v>
      </c>
    </row>
    <row r="164" spans="2:16" x14ac:dyDescent="0.2">
      <c r="B164" s="190" t="s">
        <v>322</v>
      </c>
      <c r="C164" s="193">
        <v>42066</v>
      </c>
      <c r="D164" s="190">
        <v>2714.9080461899998</v>
      </c>
      <c r="E164" s="223">
        <v>1</v>
      </c>
      <c r="F164" s="209"/>
      <c r="G164" s="223" t="s">
        <v>381</v>
      </c>
      <c r="H164" s="223">
        <v>10135.34</v>
      </c>
      <c r="I164" s="164"/>
      <c r="K164" s="228"/>
      <c r="L164" s="228"/>
      <c r="M164" s="228"/>
      <c r="O164" s="241" t="s">
        <v>385</v>
      </c>
      <c r="P164" s="241">
        <v>7819.75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382</v>
      </c>
      <c r="H165" s="223">
        <v>11977.58</v>
      </c>
      <c r="I165" s="164"/>
      <c r="K165" s="228"/>
      <c r="L165" s="228"/>
      <c r="M165" s="228"/>
      <c r="O165" s="241" t="s">
        <v>386</v>
      </c>
      <c r="P165" s="241">
        <v>10146.93</v>
      </c>
    </row>
    <row r="166" spans="2:16" x14ac:dyDescent="0.2">
      <c r="B166" s="190" t="s">
        <v>553</v>
      </c>
      <c r="C166" s="193">
        <v>42488</v>
      </c>
      <c r="D166" s="190">
        <v>19062.31522</v>
      </c>
      <c r="E166" s="223">
        <v>1</v>
      </c>
      <c r="F166" s="209"/>
      <c r="G166" s="223" t="s">
        <v>383</v>
      </c>
      <c r="H166" s="223">
        <v>13805.8</v>
      </c>
      <c r="I166" s="164"/>
      <c r="K166" s="228"/>
      <c r="L166" s="228"/>
      <c r="M166" s="228"/>
      <c r="O166" s="241" t="s">
        <v>387</v>
      </c>
      <c r="P166" s="241">
        <v>17795.34</v>
      </c>
    </row>
    <row r="167" spans="2:16" x14ac:dyDescent="0.2">
      <c r="B167" s="190" t="s">
        <v>554</v>
      </c>
      <c r="C167" s="193">
        <v>42305</v>
      </c>
      <c r="D167" s="190">
        <v>18548.60542</v>
      </c>
      <c r="E167" s="223">
        <v>1</v>
      </c>
      <c r="F167" s="209"/>
      <c r="G167" s="223" t="s">
        <v>384</v>
      </c>
      <c r="H167" s="223">
        <v>35907.75</v>
      </c>
      <c r="I167" s="164"/>
      <c r="K167" s="228"/>
      <c r="L167" s="228"/>
      <c r="M167" s="228"/>
      <c r="O167" s="241" t="s">
        <v>388</v>
      </c>
      <c r="P167" s="241">
        <v>3836.65</v>
      </c>
    </row>
    <row r="168" spans="2:16" x14ac:dyDescent="0.2">
      <c r="B168" s="190" t="s">
        <v>555</v>
      </c>
      <c r="C168" s="193">
        <v>42578</v>
      </c>
      <c r="D168" s="190">
        <v>13742.29947</v>
      </c>
      <c r="E168" s="223">
        <v>1</v>
      </c>
      <c r="F168" s="209"/>
      <c r="G168" s="223" t="s">
        <v>385</v>
      </c>
      <c r="H168" s="223">
        <v>5842.32</v>
      </c>
      <c r="I168" s="164"/>
      <c r="K168" s="228"/>
      <c r="L168" s="228"/>
      <c r="M168" s="228"/>
      <c r="O168" s="241" t="s">
        <v>389</v>
      </c>
      <c r="P168" s="241">
        <v>22052.74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386</v>
      </c>
      <c r="H169" s="223">
        <v>9917.31</v>
      </c>
      <c r="I169" s="164"/>
      <c r="K169" s="228"/>
      <c r="L169" s="228"/>
      <c r="M169" s="228"/>
      <c r="O169" s="241" t="s">
        <v>390</v>
      </c>
      <c r="P169" s="241">
        <v>12819.29</v>
      </c>
    </row>
    <row r="170" spans="2:16" x14ac:dyDescent="0.2">
      <c r="B170" s="190" t="s">
        <v>325</v>
      </c>
      <c r="C170" s="193">
        <v>43364</v>
      </c>
      <c r="D170" s="190">
        <v>87713.546681709995</v>
      </c>
      <c r="E170" s="223">
        <v>1</v>
      </c>
      <c r="F170" s="209"/>
      <c r="G170" s="223" t="s">
        <v>387</v>
      </c>
      <c r="H170" s="223">
        <v>10706.89</v>
      </c>
      <c r="I170" s="164"/>
      <c r="K170" s="228"/>
      <c r="L170" s="228"/>
      <c r="M170" s="228"/>
      <c r="O170" s="241" t="s">
        <v>391</v>
      </c>
      <c r="P170" s="241">
        <v>19146.939999999999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388</v>
      </c>
      <c r="H171" s="223">
        <v>3637.65</v>
      </c>
      <c r="I171" s="164"/>
      <c r="K171" s="228"/>
      <c r="L171" s="228"/>
      <c r="M171" s="228"/>
      <c r="O171" s="241" t="s">
        <v>392</v>
      </c>
      <c r="P171" s="241">
        <v>4220.7700000000004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389</v>
      </c>
      <c r="H172" s="223">
        <v>17009.330000000002</v>
      </c>
      <c r="I172" s="164"/>
      <c r="K172" s="228"/>
      <c r="L172" s="228"/>
      <c r="M172" s="228"/>
      <c r="O172" s="241" t="s">
        <v>393</v>
      </c>
      <c r="P172" s="241">
        <v>19970.43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390</v>
      </c>
      <c r="H173" s="223">
        <v>13448.82</v>
      </c>
      <c r="I173" s="164"/>
      <c r="K173" s="228"/>
      <c r="L173" s="228"/>
      <c r="M173" s="228"/>
      <c r="O173" s="241" t="s">
        <v>394</v>
      </c>
      <c r="P173" s="241">
        <v>13265.85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391</v>
      </c>
      <c r="H174" s="223">
        <v>15905.15</v>
      </c>
      <c r="I174" s="164"/>
      <c r="K174" s="228"/>
      <c r="L174" s="228"/>
      <c r="M174" s="228"/>
      <c r="O174" s="241" t="s">
        <v>395</v>
      </c>
      <c r="P174" s="241">
        <v>17506.82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392</v>
      </c>
      <c r="H175" s="223">
        <v>3953.66</v>
      </c>
      <c r="I175" s="164"/>
      <c r="K175" s="228"/>
      <c r="L175" s="228"/>
      <c r="M175" s="228"/>
      <c r="O175" s="241" t="s">
        <v>396</v>
      </c>
      <c r="P175" s="241">
        <v>44922.071325099998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 t="s">
        <v>393</v>
      </c>
      <c r="H176" s="223">
        <v>15580.85</v>
      </c>
      <c r="I176" s="164"/>
      <c r="K176" s="228"/>
      <c r="L176" s="228"/>
      <c r="M176" s="228"/>
      <c r="O176" s="241"/>
      <c r="P176" s="241"/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 t="s">
        <v>394</v>
      </c>
      <c r="H177" s="223">
        <v>12965.66</v>
      </c>
      <c r="I177" s="164"/>
      <c r="K177" s="228"/>
      <c r="L177" s="228"/>
      <c r="M177" s="228"/>
      <c r="O177" s="241"/>
      <c r="P177" s="241"/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 t="s">
        <v>395</v>
      </c>
      <c r="H178" s="223">
        <v>14746.2</v>
      </c>
      <c r="I178" s="164"/>
      <c r="K178" s="228"/>
      <c r="L178" s="228"/>
      <c r="M178" s="228"/>
      <c r="O178" s="241"/>
      <c r="P178" s="241"/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 t="s">
        <v>396</v>
      </c>
      <c r="H179" s="223">
        <v>51576.782672189998</v>
      </c>
      <c r="I179" s="164"/>
      <c r="K179" s="228"/>
      <c r="L179" s="228"/>
      <c r="M179" s="228"/>
      <c r="O179" s="241"/>
      <c r="P179" s="241"/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43109</v>
      </c>
      <c r="D194" s="190">
        <v>5869.11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41904</v>
      </c>
      <c r="D195" s="190">
        <v>4959.92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42066</v>
      </c>
      <c r="D214" s="190">
        <v>7949.83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43364</v>
      </c>
      <c r="D217" s="190">
        <v>20724.45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43368</v>
      </c>
      <c r="D226" s="190">
        <v>6084.98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43171</v>
      </c>
      <c r="D242" s="190">
        <v>53408.582868060003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02"/>
      <c r="G2" s="402"/>
      <c r="H2" s="402"/>
      <c r="I2" s="402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>JSE Markets' Profile 20181130</JSEDescription>
    <JSEDate xmlns="a5d7cc70-31c1-4b2e-9a12-faea9898ee50">2018-12-10T07:00:00+00:00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0C54F4-B7C9-4F19-972C-E732F0124192}">
  <ds:schemaRefs>
    <ds:schemaRef ds:uri="http://schemas.microsoft.com/office/2006/documentManagement/types"/>
    <ds:schemaRef ds:uri="http://purl.org/dc/dcmitype/"/>
    <ds:schemaRef ds:uri="a5d7cc70-31c1-4b2e-9a12-faea9898ee50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3F745F8-ABBC-46D8-86E8-8FFC8C70AA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20181130</dc:title>
  <dc:creator>rapelangm</dc:creator>
  <cp:lastModifiedBy>Julia Maluleka</cp:lastModifiedBy>
  <cp:lastPrinted>2018-12-10T09:14:04Z</cp:lastPrinted>
  <dcterms:created xsi:type="dcterms:W3CDTF">2009-10-22T12:59:48Z</dcterms:created>
  <dcterms:modified xsi:type="dcterms:W3CDTF">2018-12-10T09:15:41Z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