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E431" i="1" l="1"/>
  <c r="D349" i="1"/>
  <c r="F211" i="1"/>
  <c r="F210" i="1"/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9" i="1" s="1"/>
  <c r="C374" i="1"/>
  <c r="C373" i="1"/>
  <c r="C372" i="1"/>
  <c r="G367" i="1"/>
  <c r="G366" i="1"/>
  <c r="G365" i="1"/>
  <c r="G364" i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G368" i="1" l="1"/>
  <c r="D68" i="1" l="1"/>
  <c r="C68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201" i="1" l="1"/>
  <c r="E198" i="1"/>
  <c r="D202" i="1"/>
  <c r="E200" i="1"/>
  <c r="C202" i="1"/>
  <c r="E197" i="1"/>
  <c r="B202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<sst xmlns="http://schemas.openxmlformats.org/spreadsheetml/2006/main" count="2503" uniqueCount="670">
  <si>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</si>
  <si>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</si>
  <si>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</si>
  <si>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</si>
  <si>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</si>
  <si>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</si>
  <si>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</si>
  <si>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</si>
  <si>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</si>
  <si>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</si>
  <si>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</si>
  <si>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</si>
  <si>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</si>
  <si>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</si>
  <si>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</si>
  <si>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</si>
  <si>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</si>
  <si>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</si>
  <si>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</si>
  <si>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</si>
  <si>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</si>
  <si>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</si>
  <si>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</si>
  <si>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</si>
  <si>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</si>
  <si>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</si>
  <si>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</si>
  <si>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</si>
  <si>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</si>
  <si>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</si>
  <si>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</si>
  <si>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</si>
  <si>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</si>
  <si>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</si>
  <si>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</si>
  <si>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</si>
  <si>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</si>
  <si>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</si>
  <si>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</si>
  <si>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</si>
  <si>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</si>
  <si>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</si>
  <si>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</si>
  <si>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</si>
  <si>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</si>
  <si>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</si>
  <si>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</si>
  <si>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</si>
  <si>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</si>
  <si>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</si>
  <si>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</si>
  <si>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</si>
  <si>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</si>
  <si>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</si>
  <si>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</si>
  <si>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</si>
  <si>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</si>
  <si>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</si>
  <si>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</si>
  <si>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</si>
  <si>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</si>
  <si>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</si>
  <si>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</si>
  <si>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</si>
  <si>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</si>
  <si>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</si>
  <si>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</si>
  <si>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</si>
  <si>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</si>
  <si>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</si>
  <si>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</si>
  <si>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</si>
  <si>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</si>
  <si>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</si>
  <si>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</si>
  <si>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</si>
  <si>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</si>
  <si>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</si>
  <si>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</si>
  <si>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</si>
  <si>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</si>
  <si>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</si>
  <si>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</si>
  <si>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</si>
  <si>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</si>
  <si>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</si>
  <si>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</si>
  <si>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</si>
  <si>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</si>
  <si>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</si>
  <si>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</si>
  <si>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</si>
  <si>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</si>
  <si>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</si>
  <si>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</si>
  <si>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</si>
  <si>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</si>
  <si>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</si>
  <si>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</si>
  <si>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</si>
  <si>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</si>
  <si>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</si>
  <si>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</si>
  <si>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</si>
  <si>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</si>
  <si>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</si>
  <si>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</si>
  <si>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</si>
  <si>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</si>
  <si>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</si>
  <si>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</si>
  <si>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</si>
  <si>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</si>
  <si>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</si>
  <si>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</si>
  <si>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</si>
  <si>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</si>
  <si>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</si>
  <si>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</si>
  <si>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</si>
  <si>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</si>
  <si>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</si>
  <si>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</si>
  <si>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</si>
  <si>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</si>
  <si>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</si>
  <si>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</si>
  <si>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</si>
  <si>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</si>
  <si>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</si>
  <si>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</si>
  <si>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</si>
  <si>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</si>
  <si>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</si>
  <si>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</si>
  <si>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</si>
  <si>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</si>
  <si>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</si>
  <si>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</si>
  <si>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</si>
  <si>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</si>
  <si>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</si>
  <si>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</si>
  <si>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</si>
  <si>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</si>
  <si>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</si>
  <si>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</si>
  <si>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</si>
  <si>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</si>
  <si>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</si>
  <si>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</si>
  <si>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</si>
  <si>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</si>
  <si>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</si>
  <si>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</si>
  <si>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</si>
  <si>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</si>
  <si>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</si>
  <si>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</si>
  <si>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</si>
  <si>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</si>
  <si>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</si>
  <si>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</si>
  <si>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</si>
  <si>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</si>
  <si>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</si>
  <si>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</si>
  <si>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</si>
  <si>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</si>
  <si>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</si>
  <si>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</si>
  <si>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</si>
  <si>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</si>
  <si>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</si>
  <si>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</si>
  <si>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</si>
  <si>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</si>
  <si>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</si>
  <si>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</si>
  <si>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</si>
  <si>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</si>
  <si>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</si>
  <si>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</si>
  <si>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</si>
  <si>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</si>
  <si>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</si>
  <si>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</si>
  <si>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</si>
  <si>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</si>
  <si>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</si>
  <si>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</si>
  <si>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</si>
  <si>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</si>
  <si>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</si>
  <si>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</si>
  <si>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</si>
  <si>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</si>
  <si>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</si>
  <si>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</si>
  <si>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</si>
  <si>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</si>
  <si>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</si>
  <si>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</si>
  <si>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</si>
  <si>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</si>
  <si>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</si>
  <si>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</si>
  <si>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</si>
  <si>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</si>
  <si>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</si>
  <si>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</si>
  <si>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</si>
  <si>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</si>
  <si>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</si>
  <si>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</si>
  <si>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</si>
  <si>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</si>
  <si>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</si>
  <si>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</si>
  <si>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</si>
  <si>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</si>
  <si>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</si>
  <si>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</si>
  <si>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</si>
  <si>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</si>
  <si>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</si>
  <si>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</si>
  <si>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</si>
  <si>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</si>
  <si>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</si>
  <si>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</si>
  <si>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</si>
  <si>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</si>
  <si>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</si>
  <si>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</si>
  <si>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</si>
  <si>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</si>
  <si>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</si>
  <si>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</si>
  <si>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</si>
  <si>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</si>
  <si>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</si>
  <si>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</si>
  <si>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</si>
  <si>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</si>
  <si>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</si>
  <si>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</si>
  <si>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</si>
  <si>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</si>
  <si>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</si>
  <si>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</si>
  <si>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</si>
  <si>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</si>
  <si>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</si>
  <si>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</si>
  <si>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</si>
  <si>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</si>
  <si>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</si>
  <si>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</si>
  <si>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</si>
  <si>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</si>
  <si>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</si>
  <si>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</si>
  <si>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</si>
  <si>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</si>
  <si>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</si>
  <si>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</si>
  <si>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</si>
  <si>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</si>
  <si>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</si>
  <si>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</si>
  <si>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</si>
  <si>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</si>
  <si>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</si>
  <si>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</si>
  <si>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</si>
  <si>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</si>
  <si>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</si>
  <si>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</si>
  <si>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</si>
  <si>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</si>
  <si>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</si>
  <si>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</si>
  <si>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</si>
  <si>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</si>
  <si>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</si>
  <si>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</si>
  <si>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</si>
  <si>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</si>
  <si>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</si>
  <si>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</si>
  <si>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</si>
  <si>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</si>
  <si>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</si>
  <si>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</si>
  <si>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</si>
  <si>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</si>
  <si>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</si>
  <si>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</si>
  <si>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</si>
  <si>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</si>
  <si>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</si>
  <si>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</si>
  <si>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</si>
  <si>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</si>
  <si>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</si>
  <si>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</si>
  <si>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</si>
  <si>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</si>
  <si>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</si>
  <si>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</si>
  <si>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</si>
  <si>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</si>
  <si>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</si>
  <si>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</si>
  <si>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</si>
  <si>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</si>
  <si>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</si>
  <si>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</si>
  <si>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</si>
  <si>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</si>
  <si>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</si>
  <si>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</si>
  <si>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</si>
  <si>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</si>
  <si>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</si>
  <si>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</si>
  <si>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</si>
  <si>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</si>
  <si>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</si>
  <si>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</si>
  <si>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</si>
  <si>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</si>
  <si>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</si>
  <si>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</si>
  <si>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</si>
  <si>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</si>
  <si>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</si>
  <si>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</si>
  <si>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</si>
  <si>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</si>
  <si>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</si>
  <si>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</si>
  <si>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</si>
  <si>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</si>
  <si>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</si>
  <si>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</si>
  <si>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</si>
  <si>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</si>
  <si>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</si>
  <si>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</si>
  <si>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</si>
  <si>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</si>
  <si>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</si>
  <si>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</si>
  <si>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</si>
  <si>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</si>
  <si>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</si>
  <si>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</si>
  <si>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</si>
  <si>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</si>
  <si>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</si>
  <si>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</si>
  <si>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</si>
  <si>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</si>
  <si>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</si>
  <si>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</si>
  <si>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</si>
  <si>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</si>
  <si>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</si>
  <si>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</si>
  <si>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</si>
  <si>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</si>
  <si>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</si>
  <si>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</si>
  <si>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</si>
  <si>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</si>
  <si>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</si>
  <si>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</si>
  <si>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</si>
  <si>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</si>
  <si>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</si>
  <si>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</si>
  <si>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</si>
  <si>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</si>
  <si>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</si>
  <si>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</si>
  <si>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</si>
  <si>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</si>
  <si>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</si>
  <si>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</si>
  <si>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</si>
  <si>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</si>
  <si>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</si>
  <si>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</si>
  <si>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</si>
  <si>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</si>
  <si>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</si>
  <si>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</si>
  <si>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</si>
  <si>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</si>
  <si>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</si>
  <si>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</si>
  <si>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</si>
  <si>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</si>
  <si>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</si>
  <si>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</si>
  <si>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</si>
  <si>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</si>
  <si>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</si>
  <si>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</si>
  <si>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</si>
  <si>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</si>
  <si>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</si>
  <si>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</si>
  <si>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</si>
  <si>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</si>
  <si>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</si>
  <si>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</si>
  <si>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</si>
  <si>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</si>
  <si>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</si>
  <si>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</si>
  <si>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</si>
  <si>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</si>
  <si>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</si>
  <si>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</si>
  <si>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</si>
  <si>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</si>
  <si>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</si>
  <si>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</si>
  <si>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</si>
  <si>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</si>
  <si>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</si>
  <si>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</si>
  <si>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</si>
  <si>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</si>
  <si>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</si>
  <si>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</si>
  <si>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</si>
  <si>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</si>
  <si>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</si>
  <si>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</si>
  <si>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</si>
  <si>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</si>
  <si>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</si>
  <si>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</si>
  <si>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</si>
  <si>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</si>
  <si>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</si>
  <si>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</si>
  <si>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</si>
  <si>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</si>
  <si>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</si>
  <si>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</si>
  <si>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</si>
  <si>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</si>
  <si>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</si>
  <si>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</si>
  <si>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</si>
  <si>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</si>
  <si>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</si>
  <si>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</si>
  <si>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</si>
  <si>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</si>
  <si>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</si>
  <si>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</si>
  <si>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</si>
  <si>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</si>
  <si>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</si>
  <si>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</si>
  <si>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</si>
  <si>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</si>
  <si>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</si>
  <si>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</si>
  <si>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</si>
  <si>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</si>
  <si>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</si>
  <si>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</si>
  <si>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</si>
  <si>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</si>
  <si>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</si>
  <si>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</si>
  <si>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</si>
  <si>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</si>
  <si>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</si>
  <si>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</si>
  <si>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</si>
  <si>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</si>
  <si>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</si>
  <si>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</si>
  <si>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</si>
  <si>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</si>
  <si>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</si>
  <si>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</si>
  <si>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</si>
  <si>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</si>
  <si>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</si>
  <si>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</si>
  <si>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</si>
  <si>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</si>
  <si>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</si>
  <si>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</si>
  <si>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</si>
  <si>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</si>
  <si>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</si>
  <si>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</si>
  <si>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</si>
  <si>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</si>
  <si>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</si>
  <si>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</si>
  <si>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</si>
  <si>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</si>
  <si>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</si>
  <si>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</si>
  <si>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</si>
  <si>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</si>
  <si>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</si>
  <si>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</si>
  <si>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</si>
  <si>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</si>
  <si>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</si>
  <si>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</si>
  <si>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</si>
  <si>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</si>
  <si>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</si>
  <si>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</si>
  <si>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</si>
  <si>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</si>
  <si>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</si>
  <si>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</si>
  <si>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</si>
  <si>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</si>
  <si>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</si>
  <si>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</si>
  <si>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</si>
  <si>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</si>
  <si>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</si>
  <si>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</si>
  <si>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</si>
  <si>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</si>
  <si>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</si>
  <si>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</si>
  <si>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</si>
  <si>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</si>
  <si>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</si>
  <si>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</si>
  <si>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</si>
  <si>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</si>
  <si>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</si>
  <si>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</si>
  <si>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</si>
  <si>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</si>
  <si>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</si>
  <si>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</si>
  <si>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</si>
  <si>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</si>
  <si>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</si>
  <si>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</si>
  <si>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</si>
  <si>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</si>
  <si>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</si>
  <si>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</si>
  <si>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</si>
  <si>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</si>
  <si>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</si>
  <si>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</si>
  <si>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</si>
  <si>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</si>
  <si>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</si>
  <si>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</si>
  <si>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</si>
  <si>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</si>
  <si>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</si>
  <si>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</si>
  <si>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</si>
  <si>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</si>
  <si>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</si>
  <si>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</si>
  <si>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</si>
  <si>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</si>
  <si>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</si>
  <si>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</si>
  <si>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</si>
  <si>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</si>
  <si>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</si>
  <si>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</si>
  <si>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</si>
  <si>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</si>
  <si>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</si>
  <si>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</si>
  <si>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</si>
  <si>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</si>
  <si>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QUANTO CORN COMMODITY CANDO</t>
  </si>
  <si>
    <t>QUANTO SOYBEAN COMMODITY CANDO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</si>
  <si>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</si>
  <si>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</si>
  <si>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</si>
  <si>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</si>
  <si>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</si>
  <si>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</si>
  <si>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</si>
  <si>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</si>
  <si>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</si>
  <si>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</si>
  <si>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</si>
  <si>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</si>
  <si>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</si>
  <si>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</si>
  <si>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</si>
  <si>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</si>
  <si>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</si>
  <si>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</si>
  <si>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BRENT CRUDE OIL COMMODITY CAN-DO</t>
  </si>
  <si>
    <t>EURONEXT MILLING WHEAT CONTRACT</t>
  </si>
  <si>
    <t>QUANTO SOYBEAN MEAL COMMODITY CANDO</t>
  </si>
  <si>
    <t>QUANTO SOYBEAN OIL COMMODITY CAN-DO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</si>
  <si>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</si>
  <si>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</si>
  <si>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</si>
  <si>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</si>
  <si>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</si>
  <si>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</si>
  <si>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</si>
  <si>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</si>
  <si>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</si>
  <si>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</si>
  <si>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</si>
  <si>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</si>
  <si>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</si>
  <si>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</si>
  <si>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</si>
  <si>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</si>
  <si>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</si>
  <si>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</si>
  <si>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</si>
  <si>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</si>
  <si>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</si>
  <si>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</si>
  <si>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</si>
  <si>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</si>
  <si>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</si>
  <si>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</si>
  <si>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</si>
  <si>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</si>
  <si>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</si>
  <si>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</si>
  <si>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</si>
  <si>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</si>
  <si>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</si>
  <si>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</si>
  <si>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</si>
  <si>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</si>
  <si>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</si>
  <si>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</si>
  <si>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</si>
  <si>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</si>
  <si>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</si>
  <si>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2019/01</t>
  </si>
  <si>
    <t>CorporateActionTypeCode</t>
  </si>
  <si>
    <t>SUM_TotalValue</t>
  </si>
  <si>
    <t>AS</t>
  </si>
  <si>
    <t>SI</t>
  </si>
  <si>
    <t>SO</t>
  </si>
  <si>
    <t>SS</t>
  </si>
  <si>
    <t>GI</t>
  </si>
  <si>
    <t>TU</t>
  </si>
  <si>
    <t>Note: The monthly "local liquidity"  using the value traded and Strate market capitalisation is 53.02%</t>
  </si>
  <si>
    <t>Dec 2018</t>
  </si>
  <si>
    <t>Position in the world league in December 2018 (based on the WFE statistics)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</si>
</sst>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 * #,##0_ ;_ * \-#,##0_ ;_ * &quot;-&quot;??_ ;_ @_ "/>
    <numFmt numFmtId="166" formatCode="_ * #,##0.0_ ;_ * \-#,##0.0_ ;_ * &quot;-&quot;??_ ;_ @_ "/>
    <numFmt numFmtId="167" formatCode="_(* #,##0_);_(* \(#,##0\);_(* &quot;-&quot;??_);_(@_)"/>
    <numFmt numFmtId="168" formatCode="mmm\-yyyy"/>
    <numFmt numFmtId="169" formatCode="#,###,###,"/>
    <numFmt numFmtId="170" formatCode="0.0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148">
    <xf numFmtId="0" fontId="0" fillId="0" borderId="0"/>
    <xf numFmtId="164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403">
    <xf numFmtId="0" fontId="0" fillId="0" borderId="0" xfId="0"/>
    <xf numFmtId="0" fontId="21" fillId="0" borderId="0" xfId="0" applyFont="1"/>
    <xf numFmtId="164" fontId="0" fillId="0" borderId="0" xfId="1" applyFont="1"/>
    <xf numFmtId="165" fontId="0" fillId="0" borderId="0" xfId="1" applyNumberFormat="1" applyFont="1"/>
    <xf numFmtId="165" fontId="21" fillId="0" borderId="0" xfId="1" applyNumberFormat="1" applyFont="1"/>
    <xf numFmtId="164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24" fillId="0" borderId="0" xfId="0" applyNumberFormat="1" applyFont="1"/>
    <xf numFmtId="0" fontId="22" fillId="0" borderId="0" xfId="0" applyFont="1"/>
    <xf numFmtId="165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4" fontId="0" fillId="0" borderId="0" xfId="0" applyNumberFormat="1"/>
    <xf numFmtId="0" fontId="26" fillId="0" borderId="0" xfId="0" applyFont="1"/>
    <xf numFmtId="167" fontId="18" fillId="0" borderId="0" xfId="0" applyNumberFormat="1" applyFont="1"/>
    <xf numFmtId="166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5" fontId="0" fillId="0" borderId="0" xfId="0" applyNumberFormat="1" applyFont="1"/>
    <xf numFmtId="0" fontId="0" fillId="0" borderId="0" xfId="0" applyFont="1"/>
    <xf numFmtId="165" fontId="17" fillId="0" borderId="0" xfId="0" applyNumberFormat="1" applyFont="1" applyFill="1"/>
    <xf numFmtId="3" fontId="18" fillId="0" borderId="0" xfId="0" applyNumberFormat="1" applyFont="1"/>
    <xf numFmtId="165" fontId="22" fillId="0" borderId="0" xfId="0" applyNumberFormat="1" applyFont="1" applyFill="1"/>
    <xf numFmtId="165" fontId="0" fillId="0" borderId="0" xfId="0" applyNumberFormat="1" applyFont="1" applyFill="1"/>
    <xf numFmtId="165" fontId="21" fillId="0" borderId="0" xfId="0" applyNumberFormat="1" applyFont="1"/>
    <xf numFmtId="0" fontId="21" fillId="0" borderId="0" xfId="0" applyFont="1"/>
    <xf numFmtId="0" fontId="24" fillId="0" borderId="0" xfId="0" applyFont="1"/>
    <xf numFmtId="165" fontId="18" fillId="0" borderId="0" xfId="0" applyNumberFormat="1" applyFont="1"/>
    <xf numFmtId="166" fontId="0" fillId="0" borderId="0" xfId="0" applyNumberFormat="1" applyFont="1"/>
    <xf numFmtId="166" fontId="21" fillId="0" borderId="0" xfId="0" applyNumberFormat="1" applyFont="1"/>
    <xf numFmtId="0" fontId="21" fillId="0" borderId="0" xfId="0" applyFont="1" applyAlignment="1">
      <alignment horizontal="right"/>
    </xf>
    <xf numFmtId="165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5" fontId="0" fillId="0" borderId="0" xfId="0" applyNumberFormat="1" applyFont="1" applyFill="1" applyBorder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5" fontId="0" fillId="0" borderId="0" xfId="0" applyNumberFormat="1" applyFont="1" applyFill="1" applyBorder="1" applyAlignment="1">
      <alignment horizontal="right"/>
    </xf>
    <xf numFmtId="165" fontId="17" fillId="0" borderId="0" xfId="0" applyNumberFormat="1" applyFont="1"/>
    <xf numFmtId="165" fontId="22" fillId="0" borderId="0" xfId="0" applyNumberFormat="1" applyFont="1"/>
    <xf numFmtId="166" fontId="22" fillId="0" borderId="0" xfId="0" applyNumberFormat="1" applyFont="1"/>
    <xf numFmtId="0" fontId="46" fillId="0" borderId="0" xfId="0" applyFont="1"/>
    <xf numFmtId="166" fontId="0" fillId="0" borderId="0" xfId="0" applyNumberFormat="1" applyFont="1" applyAlignment="1">
      <alignment horizontal="right"/>
    </xf>
    <xf numFmtId="165" fontId="46" fillId="0" borderId="0" xfId="0" applyNumberFormat="1" applyFont="1"/>
    <xf numFmtId="165" fontId="45" fillId="0" borderId="0" xfId="0" applyNumberFormat="1" applyFont="1"/>
    <xf numFmtId="0" fontId="21" fillId="0" borderId="0" xfId="0" applyFont="1"/>
    <xf numFmtId="166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5" fontId="0" fillId="0" borderId="0" xfId="0" applyNumberFormat="1" applyFont="1"/>
    <xf numFmtId="165" fontId="17" fillId="0" borderId="0" xfId="1" applyNumberFormat="1" applyFont="1"/>
    <xf numFmtId="0" fontId="21" fillId="0" borderId="0" xfId="0" applyFont="1"/>
    <xf numFmtId="0" fontId="21" fillId="0" borderId="0" xfId="0" applyFont="1"/>
    <xf numFmtId="165" fontId="24" fillId="0" borderId="0" xfId="0" quotePrefix="1" applyNumberFormat="1" applyFont="1" applyAlignment="1">
      <alignment horizontal="right"/>
    </xf>
    <xf numFmtId="165" fontId="16" fillId="0" borderId="0" xfId="0" applyNumberFormat="1" applyFont="1"/>
    <xf numFmtId="165" fontId="20" fillId="0" borderId="0" xfId="0" applyNumberFormat="1" applyFont="1"/>
    <xf numFmtId="0" fontId="45" fillId="0" borderId="0" xfId="0" applyFont="1"/>
    <xf numFmtId="165" fontId="16" fillId="0" borderId="0" xfId="0" applyNumberFormat="1" applyFont="1"/>
    <xf numFmtId="0" fontId="16" fillId="0" borderId="0" xfId="0" applyFont="1"/>
    <xf numFmtId="165" fontId="15" fillId="0" borderId="0" xfId="0" applyNumberFormat="1" applyFont="1"/>
    <xf numFmtId="165" fontId="0" fillId="0" borderId="0" xfId="0" applyNumberFormat="1"/>
    <xf numFmtId="0" fontId="21" fillId="0" borderId="0" xfId="0" applyFont="1"/>
    <xf numFmtId="165" fontId="14" fillId="0" borderId="0" xfId="0" applyNumberFormat="1" applyFont="1"/>
    <xf numFmtId="165" fontId="13" fillId="0" borderId="0" xfId="0" applyNumberFormat="1" applyFont="1"/>
    <xf numFmtId="165" fontId="13" fillId="0" borderId="0" xfId="1" applyNumberFormat="1" applyFont="1"/>
    <xf numFmtId="165" fontId="13" fillId="0" borderId="0" xfId="0" applyNumberFormat="1" applyFont="1"/>
    <xf numFmtId="165" fontId="13" fillId="0" borderId="0" xfId="0" applyNumberFormat="1" applyFont="1"/>
    <xf numFmtId="165" fontId="13" fillId="0" borderId="0" xfId="0" applyNumberFormat="1" applyFont="1"/>
    <xf numFmtId="168" fontId="43" fillId="0" borderId="0" xfId="0" applyNumberFormat="1" applyFont="1" applyFill="1" applyBorder="1" applyAlignment="1">
      <alignment horizontal="right"/>
    </xf>
    <xf numFmtId="168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4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5" fontId="15" fillId="0" borderId="0" xfId="1" applyNumberFormat="1" applyFont="1"/>
    <xf numFmtId="0" fontId="48" fillId="0" borderId="0" xfId="0" applyFont="1"/>
    <xf numFmtId="170" fontId="0" fillId="0" borderId="0" xfId="0" applyNumberFormat="1"/>
    <xf numFmtId="0" fontId="43" fillId="0" borderId="0" xfId="0" applyFont="1"/>
    <xf numFmtId="3" fontId="43" fillId="0" borderId="0" xfId="0" applyNumberFormat="1" applyFont="1"/>
    <xf numFmtId="170" fontId="43" fillId="0" borderId="0" xfId="0" applyNumberFormat="1" applyFont="1"/>
    <xf numFmtId="165" fontId="43" fillId="0" borderId="0" xfId="1" applyNumberFormat="1" applyFont="1"/>
    <xf numFmtId="165" fontId="43" fillId="0" borderId="0" xfId="0" applyNumberFormat="1" applyFont="1"/>
    <xf numFmtId="169" fontId="0" fillId="0" borderId="0" xfId="1" applyNumberFormat="1" applyFont="1"/>
    <xf numFmtId="169" fontId="43" fillId="0" borderId="0" xfId="0" applyNumberFormat="1" applyFont="1"/>
    <xf numFmtId="169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0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8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0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5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5" fontId="21" fillId="0" borderId="11" xfId="0" applyNumberFormat="1" applyFont="1" applyBorder="1"/>
    <xf numFmtId="165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5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5" fontId="26" fillId="0" borderId="0" xfId="1" applyNumberFormat="1" applyFont="1"/>
    <xf numFmtId="165" fontId="26" fillId="0" borderId="11" xfId="1" applyNumberFormat="1" applyFont="1" applyBorder="1"/>
    <xf numFmtId="165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165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5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0" fontId="0" fillId="0" borderId="0" xfId="0" applyNumberFormat="1" applyFont="1"/>
    <xf numFmtId="169" fontId="0" fillId="0" borderId="0" xfId="0" applyNumberFormat="1" applyFont="1"/>
    <xf numFmtId="166" fontId="0" fillId="0" borderId="11" xfId="0" applyNumberFormat="1" applyFont="1" applyBorder="1"/>
    <xf numFmtId="166" fontId="0" fillId="0" borderId="11" xfId="1" applyNumberFormat="1" applyFont="1" applyBorder="1"/>
    <xf numFmtId="165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6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/>
    <xf numFmtId="165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5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4" fontId="49" fillId="34" borderId="0" xfId="1" applyFont="1" applyFill="1"/>
    <xf numFmtId="164" fontId="26" fillId="0" borderId="11" xfId="1" applyFont="1" applyBorder="1"/>
    <xf numFmtId="0" fontId="26" fillId="0" borderId="0" xfId="0" applyFont="1" applyBorder="1"/>
    <xf numFmtId="164" fontId="26" fillId="0" borderId="0" xfId="1" applyFont="1"/>
    <xf numFmtId="164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5" fontId="26" fillId="0" borderId="0" xfId="1" applyNumberFormat="1" applyFont="1" applyFill="1"/>
    <xf numFmtId="0" fontId="49" fillId="34" borderId="14" xfId="0" applyFont="1" applyFill="1" applyBorder="1"/>
    <xf numFmtId="164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4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5" fontId="49" fillId="0" borderId="0" xfId="1" applyNumberFormat="1" applyFont="1"/>
    <xf numFmtId="0" fontId="49" fillId="34" borderId="0" xfId="0" applyFont="1" applyFill="1" applyAlignment="1"/>
    <xf numFmtId="164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65" fontId="26" fillId="0" borderId="0" xfId="1" applyNumberFormat="1" applyFont="1" applyBorder="1"/>
    <xf numFmtId="164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5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5" fontId="18" fillId="0" borderId="0" xfId="0" applyNumberFormat="1" applyFont="1"/>
    <xf numFmtId="165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5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5" fontId="0" fillId="0" borderId="0" xfId="0" applyNumberFormat="1" applyFont="1"/>
    <xf numFmtId="165" fontId="20" fillId="0" borderId="0" xfId="0" applyNumberFormat="1" applyFont="1"/>
    <xf numFmtId="165" fontId="21" fillId="0" borderId="0" xfId="0" applyNumberFormat="1" applyFont="1"/>
    <xf numFmtId="165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4" fontId="13" fillId="0" borderId="0" xfId="46" applyFont="1"/>
    <xf numFmtId="164" fontId="53" fillId="0" borderId="0" xfId="46" applyFont="1" applyFill="1" applyAlignment="1"/>
    <xf numFmtId="164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5" fontId="26" fillId="0" borderId="0" xfId="0" applyNumberFormat="1" applyFont="1"/>
    <xf numFmtId="165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5" fontId="53" fillId="0" borderId="0" xfId="335" applyNumberFormat="1" applyFont="1" applyFill="1" applyAlignment="1"/>
    <xf numFmtId="165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5" fontId="53" fillId="0" borderId="0" xfId="573" applyNumberFormat="1" applyFont="1" applyFill="1" applyAlignment="1"/>
    <xf numFmtId="165" fontId="5" fillId="0" borderId="0" xfId="573" applyNumberFormat="1" applyFont="1" applyFill="1"/>
    <xf numFmtId="165" fontId="53" fillId="0" borderId="0" xfId="46" applyNumberFormat="1" applyFont="1" applyFill="1" applyAlignment="1"/>
    <xf numFmtId="165" fontId="5" fillId="0" borderId="0" xfId="46" applyNumberFormat="1" applyFont="1" applyFill="1"/>
    <xf numFmtId="164" fontId="5" fillId="0" borderId="0" xfId="573" applyNumberFormat="1" applyFont="1" applyFill="1"/>
    <xf numFmtId="164" fontId="53" fillId="0" borderId="0" xfId="573" applyFont="1" applyFill="1" applyAlignment="1"/>
    <xf numFmtId="164" fontId="5" fillId="0" borderId="0" xfId="573" applyFont="1" applyFill="1"/>
    <xf numFmtId="164" fontId="0" fillId="0" borderId="0" xfId="46" applyFont="1"/>
    <xf numFmtId="165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5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5" fontId="26" fillId="0" borderId="11" xfId="0" applyNumberFormat="1" applyFont="1" applyBorder="1"/>
    <xf numFmtId="10" fontId="26" fillId="0" borderId="11" xfId="43" applyNumberFormat="1" applyFont="1" applyBorder="1"/>
    <xf numFmtId="165" fontId="26" fillId="0" borderId="11" xfId="0" applyNumberFormat="1" applyFont="1" applyFill="1" applyBorder="1"/>
    <xf numFmtId="165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5" fontId="26" fillId="0" borderId="0" xfId="0" applyNumberFormat="1" applyFont="1" applyAlignment="1">
      <alignment horizontal="right"/>
    </xf>
    <xf numFmtId="0" fontId="49" fillId="0" borderId="11" xfId="0" applyFont="1" applyBorder="1"/>
    <xf numFmtId="165" fontId="49" fillId="0" borderId="11" xfId="0" applyNumberFormat="1" applyFont="1" applyBorder="1"/>
    <xf numFmtId="165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5" fontId="58" fillId="0" borderId="0" xfId="0" applyNumberFormat="1" applyFont="1" applyFill="1"/>
    <xf numFmtId="165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5" fontId="26" fillId="0" borderId="0" xfId="0" applyNumberFormat="1" applyFont="1" applyFill="1" applyAlignment="1"/>
    <xf numFmtId="0" fontId="59" fillId="0" borderId="0" xfId="0" applyFont="1"/>
    <xf numFmtId="165" fontId="60" fillId="0" borderId="0" xfId="0" applyNumberFormat="1" applyFont="1"/>
    <xf numFmtId="165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5" fontId="55" fillId="0" borderId="0" xfId="0" applyNumberFormat="1" applyFont="1"/>
    <xf numFmtId="3" fontId="49" fillId="34" borderId="0" xfId="0" applyNumberFormat="1" applyFont="1" applyFill="1"/>
    <xf numFmtId="166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6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5" fontId="49" fillId="34" borderId="0" xfId="0" applyNumberFormat="1" applyFont="1" applyFill="1"/>
    <xf numFmtId="165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8" fontId="49" fillId="34" borderId="12" xfId="0" applyNumberFormat="1" applyFont="1" applyFill="1" applyBorder="1" applyAlignment="1">
      <alignment horizontal="right"/>
    </xf>
    <xf numFmtId="168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5" fontId="26" fillId="0" borderId="0" xfId="0" applyNumberFormat="1" applyFont="1" applyFill="1" applyBorder="1" applyAlignment="1">
      <alignment horizontal="right"/>
    </xf>
    <xf numFmtId="165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5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5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5" fontId="4" fillId="0" borderId="0" xfId="1087" applyNumberFormat="1" applyFont="1" applyFill="1"/>
    <xf numFmtId="164" fontId="4" fillId="0" borderId="0" xfId="1087" applyNumberFormat="1" applyFont="1" applyFill="1"/>
    <xf numFmtId="165" fontId="26" fillId="0" borderId="0" xfId="0" applyNumberFormat="1" applyFont="1" applyFill="1"/>
    <xf numFmtId="165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5" fontId="26" fillId="0" borderId="0" xfId="0" applyNumberFormat="1" applyFont="1"/>
    <xf numFmtId="165" fontId="49" fillId="0" borderId="0" xfId="0" applyNumberFormat="1" applyFont="1"/>
    <xf numFmtId="165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/>
    <xf numFmtId="165" fontId="26" fillId="0" borderId="11" xfId="0" applyNumberFormat="1" applyFont="1" applyFill="1" applyBorder="1"/>
    <xf numFmtId="165" fontId="49" fillId="0" borderId="11" xfId="0" applyNumberFormat="1" applyFont="1" applyBorder="1"/>
    <xf numFmtId="166" fontId="26" fillId="0" borderId="0" xfId="0" applyNumberFormat="1" applyFont="1" applyAlignment="1">
      <alignment horizontal="right"/>
    </xf>
    <xf numFmtId="166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5" fontId="49" fillId="0" borderId="0" xfId="0" applyNumberFormat="1" applyFont="1" applyFill="1"/>
    <xf numFmtId="17" fontId="0" fillId="0" borderId="0" xfId="0" applyNumberFormat="1" applyFont="1"/>
    <xf numFmtId="0" fontId="50" fillId="0" borderId="0" xfId="0" applyFont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4" fontId="49" fillId="34" borderId="0" xfId="1" applyFont="1" applyFill="1" applyBorder="1" applyAlignment="1">
      <alignment horizontal="right" wrapText="1"/>
    </xf>
    <xf numFmtId="164" fontId="49" fillId="34" borderId="12" xfId="1" applyFont="1" applyFill="1" applyBorder="1" applyAlignment="1">
      <alignment horizontal="right" wrapText="1"/>
    </xf>
    <xf numFmtId="165" fontId="49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165" fontId="26" fillId="0" borderId="0" xfId="0" applyNumberFormat="1" applyFont="1" applyAlignment="1">
      <alignment horizontal="center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5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165" fontId="59" fillId="34" borderId="14" xfId="0" quotePrefix="1" applyNumberFormat="1" applyFont="1" applyFill="1" applyBorder="1" applyAlignment="1">
      <alignment horizontal="right"/>
    </xf>
    <xf numFmtId="165" fontId="59" fillId="34" borderId="0" xfId="0" quotePrefix="1" applyNumberFormat="1" applyFont="1" applyFill="1" applyBorder="1" applyAlignment="1">
      <alignment horizontal="right"/>
    </xf>
    <xf numFmtId="165" fontId="59" fillId="34" borderId="12" xfId="0" quotePrefix="1" applyNumberFormat="1" applyFont="1" applyFill="1" applyBorder="1" applyAlignment="1">
      <alignment horizontal="right"/>
    </xf>
    <xf numFmtId="165" fontId="0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21" fillId="0" borderId="10" xfId="0" applyFont="1" applyBorder="1" applyAlignment="1">
      <alignment horizontal="center"/>
    </xf>
  </cellXfs>
  <cellStyles count="2148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2147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topLeftCell="A166" zoomScaleNormal="100" workbookViewId="0">
      <selection activeCell="H186" sqref="H186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43496</v>
      </c>
    </row>
    <row r="7" spans="1:12" x14ac:dyDescent="0.2">
      <c r="A7" s="107" t="str">
        <f>"Market Profile - "&amp; TEXT($H$3,"MMM")&amp;" "&amp;TEXT($H$3,"YYYY")</f>
        <v>Market Profile - Jan 2019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93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93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94"/>
      <c r="B15" s="282" t="str">
        <f>TEXT($H$3,"MMM")&amp;" "&amp;TEXT($H$3,"YYYY")</f>
        <v>Jan 2019</v>
      </c>
      <c r="C15" s="282" t="str">
        <f>TEXT($H$3,"YYYY")</f>
        <v>2019</v>
      </c>
      <c r="D15" s="283">
        <f>TEXT($H$3,"YYYY")-1</f>
        <v>2018</v>
      </c>
      <c r="E15" s="284" t="s">
        <v>6</v>
      </c>
      <c r="F15" s="285">
        <f>TEXT($H$3,"YYYY")-1</f>
        <v>2018</v>
      </c>
      <c r="G15" s="285">
        <f>TEXT($H$3,"YYYY")-2</f>
        <v>2017</v>
      </c>
      <c r="H15" s="285">
        <f>TEXT($H$3,"YYYY")-3</f>
        <v>2016</v>
      </c>
      <c r="I15" s="285">
        <f>TEXT($H$3,"YYYY")-4</f>
        <v>2015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5728480</v>
      </c>
      <c r="C16" s="127">
        <f>Data!D5</f>
        <v>5728480</v>
      </c>
      <c r="D16" s="249">
        <f>Data!D8</f>
        <v>5406216</v>
      </c>
      <c r="E16" s="286">
        <f>(C16-D16)/ABS(D16)</f>
        <v>5.9609900899261145E-2</v>
      </c>
      <c r="F16" s="369">
        <v>70356164</v>
      </c>
      <c r="G16" s="369">
        <v>67786095</v>
      </c>
      <c r="H16" s="369">
        <v>71179762</v>
      </c>
      <c r="I16" s="369">
        <v>61894253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5668.1318840000004</v>
      </c>
      <c r="C17" s="127">
        <f>Data!B5/1000000</f>
        <v>5668.1318840000004</v>
      </c>
      <c r="D17" s="249">
        <f>Data!B8/1000000</f>
        <v>6957.3697679999996</v>
      </c>
      <c r="E17" s="286">
        <f t="shared" ref="E17:E18" si="0">(C17-D17)/ABS(D17)</f>
        <v>-0.18530535633304568</v>
      </c>
      <c r="F17" s="369">
        <v>91716.796484000006</v>
      </c>
      <c r="G17" s="369">
        <v>85958</v>
      </c>
      <c r="H17" s="369">
        <v>79501</v>
      </c>
      <c r="I17" s="369">
        <v>74406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369109.82254060038</v>
      </c>
      <c r="C18" s="127">
        <f>Data!C5/1000000</f>
        <v>369109.82254060038</v>
      </c>
      <c r="D18" s="249">
        <f>Data!C8/1000000</f>
        <v>510081.95836987678</v>
      </c>
      <c r="E18" s="286">
        <f t="shared" si="0"/>
        <v>-0.27637153895777078</v>
      </c>
      <c r="F18" s="369">
        <v>5537665.1057057781</v>
      </c>
      <c r="G18" s="369">
        <v>5479433</v>
      </c>
      <c r="H18" s="369">
        <v>5892768</v>
      </c>
      <c r="I18" s="369">
        <v>5015419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9"/>
      <c r="H19" s="369"/>
      <c r="I19" s="369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9"/>
      <c r="H20" s="369"/>
      <c r="I20" s="375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1096</v>
      </c>
      <c r="C21" s="127">
        <f>Data!F5</f>
        <v>1096</v>
      </c>
      <c r="D21" s="249">
        <f>Data!F8</f>
        <v>2475</v>
      </c>
      <c r="E21" s="286">
        <f>(C21-D21)/ABS(D21)</f>
        <v>-0.55717171717171721</v>
      </c>
      <c r="F21" s="369">
        <v>21951</v>
      </c>
      <c r="G21" s="369">
        <v>36150</v>
      </c>
      <c r="H21" s="369">
        <v>38735</v>
      </c>
      <c r="I21" s="369">
        <v>30897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449.58067399999999</v>
      </c>
      <c r="C22" s="127">
        <f>Data!G5/1000000</f>
        <v>449.58067399999999</v>
      </c>
      <c r="D22" s="249">
        <f>Data!G8/1000000</f>
        <v>508.69282399999997</v>
      </c>
      <c r="E22" s="286">
        <f t="shared" ref="E22:E23" si="1">(C22-D22)/ABS(D22)</f>
        <v>-0.11620401784948314</v>
      </c>
      <c r="F22" s="369">
        <v>8350.1208690000003</v>
      </c>
      <c r="G22" s="369">
        <v>10343</v>
      </c>
      <c r="H22" s="369">
        <v>6935</v>
      </c>
      <c r="I22" s="369">
        <v>7273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17590.801236910371</v>
      </c>
      <c r="C23" s="128">
        <f>Data!H5/1000000</f>
        <v>17590.801236910371</v>
      </c>
      <c r="D23" s="290">
        <f>Data!H8/1000000</f>
        <v>31941.266698541825</v>
      </c>
      <c r="E23" s="291">
        <f t="shared" si="1"/>
        <v>-0.44927665508915393</v>
      </c>
      <c r="F23" s="370">
        <v>328908.56803052861</v>
      </c>
      <c r="G23" s="370">
        <v>417329</v>
      </c>
      <c r="H23" s="370">
        <v>379199</v>
      </c>
      <c r="I23" s="370">
        <v>336258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Jan 2019</v>
      </c>
      <c r="C28" s="282" t="str">
        <f>$C$15</f>
        <v>2019</v>
      </c>
      <c r="D28" s="282">
        <f>$D$15</f>
        <v>2018</v>
      </c>
      <c r="E28" s="284" t="s">
        <v>6</v>
      </c>
      <c r="F28" s="284">
        <f>$F$15</f>
        <v>2018</v>
      </c>
      <c r="G28" s="295">
        <f>$G$15</f>
        <v>2017</v>
      </c>
      <c r="H28" s="295">
        <f>$H$15</f>
        <v>2016</v>
      </c>
      <c r="I28" s="295">
        <f>$I$15</f>
        <v>2015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73159.195169850005</v>
      </c>
      <c r="C29" s="249">
        <f>Data!O5/1000000</f>
        <v>73159.195169850005</v>
      </c>
      <c r="D29" s="249">
        <f>Data!O8/1000000</f>
        <v>122511.52041625</v>
      </c>
      <c r="E29" s="195">
        <f>C29-D29</f>
        <v>-49352.325246399996</v>
      </c>
      <c r="F29" s="366">
        <v>1074516.3690464799</v>
      </c>
      <c r="G29" s="249">
        <v>992119</v>
      </c>
      <c r="H29" s="296">
        <v>1010947</v>
      </c>
      <c r="I29" s="296">
        <v>969468</v>
      </c>
      <c r="J29" s="129"/>
    </row>
    <row r="30" spans="1:12" ht="12.75" customHeight="1" x14ac:dyDescent="0.2">
      <c r="A30" s="248" t="s">
        <v>11</v>
      </c>
      <c r="B30" s="249">
        <f>Data!P2/1000000</f>
        <v>-88099.448950399994</v>
      </c>
      <c r="C30" s="249">
        <f>Data!P5/1000000</f>
        <v>-88099.448950399994</v>
      </c>
      <c r="D30" s="249">
        <f>Data!P8/1000000</f>
        <v>-111695.6125148</v>
      </c>
      <c r="E30" s="195">
        <f>C30-D30</f>
        <v>23596.163564400005</v>
      </c>
      <c r="F30" s="366">
        <v>-1127558.69875799</v>
      </c>
      <c r="G30" s="249">
        <v>-1039685</v>
      </c>
      <c r="H30" s="296">
        <v>-1134812</v>
      </c>
      <c r="I30" s="296">
        <v>-970485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-14940.25378055</v>
      </c>
      <c r="C31" s="298">
        <f>Data!Q5/1000000</f>
        <v>-14940.25378055</v>
      </c>
      <c r="D31" s="298">
        <f>Data!Q8/1000000</f>
        <v>10815.90790145</v>
      </c>
      <c r="E31" s="299">
        <f>C31-D31</f>
        <v>-25756.161681999998</v>
      </c>
      <c r="F31" s="371">
        <v>-53042.329711509999</v>
      </c>
      <c r="G31" s="298">
        <v>-47566</v>
      </c>
      <c r="H31" s="298">
        <v>-123865</v>
      </c>
      <c r="I31" s="298">
        <v>-1017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Jan 2019</v>
      </c>
      <c r="C36" s="282" t="str">
        <f>$C$15</f>
        <v>2019</v>
      </c>
      <c r="D36" s="282">
        <f>$D$15</f>
        <v>2018</v>
      </c>
      <c r="E36" s="284" t="s">
        <v>6</v>
      </c>
      <c r="F36" s="284">
        <f>$F$15</f>
        <v>2018</v>
      </c>
      <c r="G36" s="295">
        <f>$G$15</f>
        <v>2017</v>
      </c>
      <c r="H36" s="295">
        <f>$H$15</f>
        <v>2016</v>
      </c>
      <c r="I36" s="295">
        <f>$I$15</f>
        <v>2015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19395</v>
      </c>
      <c r="C38" s="287">
        <f>Data!CK6</f>
        <v>19395</v>
      </c>
      <c r="D38" s="287">
        <f>Data!CK11</f>
        <v>24727</v>
      </c>
      <c r="E38" s="286">
        <f t="shared" ref="E38:E40" si="2">IFERROR(IF(OR(AND(D38="",C38=""),AND(D38=0,C38=0)),"",
IF(OR(D38="",D38=0),1,
IF(OR(D38&lt;&gt;"",D38&lt;&gt;0),(C38-D38)/ABS(D38)))),-1)</f>
        <v>-0.21563473126541838</v>
      </c>
      <c r="F38" s="369">
        <v>302385</v>
      </c>
      <c r="G38" s="361">
        <v>291730</v>
      </c>
      <c r="H38" s="361">
        <v>283127</v>
      </c>
      <c r="I38" s="361">
        <v>290607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615469.24724000006</v>
      </c>
      <c r="C39" s="287">
        <f>Data!CK7/1000000</f>
        <v>615469.24724000006</v>
      </c>
      <c r="D39" s="287">
        <f>Data!CK12/1000000</f>
        <v>842888.02806000004</v>
      </c>
      <c r="E39" s="286">
        <f t="shared" si="2"/>
        <v>-0.26980900576252037</v>
      </c>
      <c r="F39" s="369">
        <v>9185860.4868269991</v>
      </c>
      <c r="G39" s="361">
        <v>7876304</v>
      </c>
      <c r="H39" s="361">
        <v>7321629</v>
      </c>
      <c r="I39" s="361">
        <v>6653964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622765.75218693004</v>
      </c>
      <c r="C40" s="287">
        <f>Data!CK8/1000000</f>
        <v>622765.75218692981</v>
      </c>
      <c r="D40" s="287">
        <f>Data!CK13/1000000</f>
        <v>866668.42222961911</v>
      </c>
      <c r="E40" s="286">
        <f t="shared" si="2"/>
        <v>-0.28142558767194659</v>
      </c>
      <c r="F40" s="369">
        <v>9451508.9466277491</v>
      </c>
      <c r="G40" s="361">
        <v>8198143</v>
      </c>
      <c r="H40" s="361">
        <v>7580050</v>
      </c>
      <c r="I40" s="361">
        <v>7166248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14435</v>
      </c>
      <c r="C43" s="287">
        <f>Data!CN6</f>
        <v>14435</v>
      </c>
      <c r="D43" s="287">
        <f>Data!CN11</f>
        <v>14086</v>
      </c>
      <c r="E43" s="286">
        <f t="shared" ref="E43:E45" si="3">IFERROR(IF(OR(AND(D43="",C43=""),AND(D43=0,C43=0)),"",
IF(OR(D43="",D43=0),1,
IF(OR(D43&lt;&gt;"",D43&lt;&gt;0),(C43-D43)/ABS(D43)))),-1)</f>
        <v>2.4776373704387334E-2</v>
      </c>
      <c r="F43" s="369">
        <v>161055</v>
      </c>
      <c r="G43" s="361">
        <v>153015</v>
      </c>
      <c r="H43" s="361">
        <v>170507</v>
      </c>
      <c r="I43" s="361">
        <v>157998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1964349.6726490001</v>
      </c>
      <c r="C44" s="287">
        <f>Data!CN7/1000000</f>
        <v>1964349.6726490001</v>
      </c>
      <c r="D44" s="287">
        <f>Data!CN12/1000000</f>
        <v>1604476.8165599999</v>
      </c>
      <c r="E44" s="286">
        <f t="shared" si="3"/>
        <v>0.22429296102923316</v>
      </c>
      <c r="F44" s="369">
        <v>20951365.002542999</v>
      </c>
      <c r="G44" s="361">
        <v>19085335</v>
      </c>
      <c r="H44" s="361">
        <v>19586029</v>
      </c>
      <c r="I44" s="361">
        <v>15650220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1882015.890891331</v>
      </c>
      <c r="C45" s="287">
        <f>Data!CN8/1000000</f>
        <v>1882015.8908913305</v>
      </c>
      <c r="D45" s="287">
        <f>Data!CN13/1000000</f>
        <v>1610501.6770356204</v>
      </c>
      <c r="E45" s="286">
        <f t="shared" si="3"/>
        <v>0.16858983615308887</v>
      </c>
      <c r="F45" s="369">
        <v>20334924.154029831</v>
      </c>
      <c r="G45" s="361">
        <v>18571364</v>
      </c>
      <c r="H45" s="361">
        <v>19133372</v>
      </c>
      <c r="I45" s="361">
        <v>16112281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730</v>
      </c>
      <c r="C48" s="127">
        <f>Data!CQ6</f>
        <v>730</v>
      </c>
      <c r="D48" s="249">
        <f>Data!CQ11</f>
        <v>730</v>
      </c>
      <c r="E48" s="286">
        <f t="shared" ref="E48:E50" si="4">IFERROR(IF(OR(AND(D48="",C48=""),AND(D48=0,C48=0)),"",
IF(OR(D48="",D48=0),1,
IF(OR(D48&lt;&gt;"",D48&lt;&gt;0),(C48-D48)/ABS(D48)))),-1)</f>
        <v>0</v>
      </c>
      <c r="F48" s="369">
        <v>8603</v>
      </c>
      <c r="G48" s="361">
        <v>8729</v>
      </c>
      <c r="H48" s="361">
        <v>7665</v>
      </c>
      <c r="I48" s="361">
        <v>5572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50074.855539999997</v>
      </c>
      <c r="C49" s="127">
        <f>Data!CQ7/1000000</f>
        <v>50074.855539999997</v>
      </c>
      <c r="D49" s="249">
        <f>Data!CQ12/1000000</f>
        <v>57165.938962</v>
      </c>
      <c r="E49" s="286">
        <f t="shared" si="4"/>
        <v>-0.12404385462318164</v>
      </c>
      <c r="F49" s="369">
        <v>658610.35481000005</v>
      </c>
      <c r="G49" s="361">
        <v>737277</v>
      </c>
      <c r="H49" s="361">
        <v>747909</v>
      </c>
      <c r="I49" s="361">
        <v>434632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19095.83821441</v>
      </c>
      <c r="C50" s="128">
        <f>Data!CQ8/1000000</f>
        <v>19095.838214410003</v>
      </c>
      <c r="D50" s="290">
        <f>Data!CQ13/1000000</f>
        <v>19182.857828770004</v>
      </c>
      <c r="E50" s="291">
        <f t="shared" si="4"/>
        <v>-4.5363217064295063E-3</v>
      </c>
      <c r="F50" s="370">
        <v>206819.95535734002</v>
      </c>
      <c r="G50" s="292">
        <v>305414</v>
      </c>
      <c r="H50" s="292">
        <v>370548</v>
      </c>
      <c r="I50" s="292">
        <v>240709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Jan 2019</v>
      </c>
      <c r="C56" s="282" t="str">
        <f>$C$15</f>
        <v>2019</v>
      </c>
      <c r="D56" s="282">
        <f>$D$15</f>
        <v>2018</v>
      </c>
      <c r="E56" s="284" t="s">
        <v>6</v>
      </c>
      <c r="F56" s="284">
        <f>$F$15</f>
        <v>2018</v>
      </c>
      <c r="G56" s="295">
        <f>$G$15</f>
        <v>2017</v>
      </c>
      <c r="H56" s="295">
        <f>$H$15</f>
        <v>2016</v>
      </c>
      <c r="I56" s="295">
        <f>$I$15</f>
        <v>2015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88570.019893999997</v>
      </c>
      <c r="C57" s="287">
        <f>(SUMIFS(Data!$CZ$1:$CZ$12,Data!$CU$1:$CU$12,"Standard Trade")+SUMIFS(Data!$CZ$1:$CZ$12,Data!$CU$1:$CU$12,"Standard Trade (Spot)"))/1000000</f>
        <v>88570.019893999997</v>
      </c>
      <c r="D57" s="287">
        <f>(SUMIFS(Data!$CZ$27:$CZ$38,Data!$CU$27:$CU$38,"Standard Trade")+SUMIFS(Data!$CZ$27:$CZ$38,Data!$CU$27:$CU$38,"Standard Trade (Spot)"))/1000000</f>
        <v>109729.046676</v>
      </c>
      <c r="E57" s="195">
        <f>C57-D57</f>
        <v>-21159.026782000001</v>
      </c>
      <c r="F57" s="369">
        <v>1118355.2740209999</v>
      </c>
      <c r="G57" s="361">
        <v>1072127</v>
      </c>
      <c r="H57" s="306">
        <v>954436</v>
      </c>
      <c r="I57" s="306">
        <v>821507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76688.039149999997</v>
      </c>
      <c r="C58" s="287">
        <f>(SUMIFS(Data!$DC$1:$DC$12,Data!$CU$1:$CU$12,"Standard Trade")+SUMIFS(Data!$DC$1:$DC$12,Data!$CU$1:$CU$12,"Standard Trade (Spot)"))/1000000</f>
        <v>76688.039149999997</v>
      </c>
      <c r="D58" s="287">
        <f>(SUMIFS(Data!$DC$27:$DC$38,Data!$CU$27:$CU$38,"Standard Trade")+SUMIFS(Data!$DC$27:$DC$38,Data!$CU$27:$CU$38,"Standard Trade (Spot)"))/1000000</f>
        <v>116901.234019</v>
      </c>
      <c r="E58" s="195">
        <f>C58-D58</f>
        <v>-40213.194868999999</v>
      </c>
      <c r="F58" s="369">
        <v>1183483.8407050001</v>
      </c>
      <c r="G58" s="361">
        <v>1016544</v>
      </c>
      <c r="H58" s="306">
        <v>922129</v>
      </c>
      <c r="I58" s="306">
        <v>820729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11881.980744</v>
      </c>
      <c r="C59" s="298">
        <f t="shared" ref="C59" si="5">C57-C58</f>
        <v>11881.980744</v>
      </c>
      <c r="D59" s="298">
        <f>D57-D58</f>
        <v>-7172.1873429999978</v>
      </c>
      <c r="E59" s="298">
        <f>E57-E58</f>
        <v>19054.168086999998</v>
      </c>
      <c r="F59" s="371">
        <v>-65128.566684000194</v>
      </c>
      <c r="G59" s="298">
        <v>55583</v>
      </c>
      <c r="H59" s="298">
        <v>32307</v>
      </c>
      <c r="I59" s="298">
        <v>778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Jan 2019</v>
      </c>
      <c r="C65" s="282" t="str">
        <f>$C$15</f>
        <v>2019</v>
      </c>
      <c r="D65" s="282">
        <f>$D$15</f>
        <v>2018</v>
      </c>
      <c r="E65" s="284" t="s">
        <v>6</v>
      </c>
      <c r="F65" s="284">
        <f>$F$15</f>
        <v>2018</v>
      </c>
      <c r="G65" s="295">
        <f>$G$15</f>
        <v>2017</v>
      </c>
      <c r="H65" s="295">
        <f>$H$15</f>
        <v>2016</v>
      </c>
      <c r="I65" s="295">
        <f>$I$15</f>
        <v>2015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270668</v>
      </c>
      <c r="C67" s="249">
        <f>Data!BR2</f>
        <v>270668</v>
      </c>
      <c r="D67" s="249">
        <f>Data!BR8</f>
        <v>250369</v>
      </c>
      <c r="E67" s="286">
        <f>IFERROR(IF(OR(AND(D67="",C67=""),AND(D67=0,C67=0)),"",
IF(OR(D67="",D67=0),1,
IF(OR(D67&lt;&gt;"",D67&lt;&gt;0),(C67-D67)/ABS(D67)))),-1)</f>
        <v>8.1076331334949611E-2</v>
      </c>
      <c r="F67" s="369">
        <v>3608867</v>
      </c>
      <c r="G67" s="361">
        <v>3180985</v>
      </c>
      <c r="H67" s="361">
        <v>3591024</v>
      </c>
      <c r="I67" s="313">
        <v>3526147</v>
      </c>
      <c r="J67" s="158"/>
    </row>
    <row r="68" spans="1:12" ht="14.25" x14ac:dyDescent="0.2">
      <c r="A68" s="248" t="s">
        <v>142</v>
      </c>
      <c r="B68" s="127">
        <f>C379/1000</f>
        <v>2687.2260000000001</v>
      </c>
      <c r="C68" s="249">
        <f>Data!BQ2/1000</f>
        <v>2687.2260000000001</v>
      </c>
      <c r="D68" s="249">
        <f>Data!BQ8/1000</f>
        <v>3969.9110000000001</v>
      </c>
      <c r="E68" s="286">
        <f t="shared" ref="E68:E70" si="6">IFERROR(IF(OR(AND(D68="",C68=""),AND(D68=0,C68=0)),"",
IF(OR(D68="",D68=0),1,
IF(OR(D68&lt;&gt;"",D68&lt;&gt;0),(C68-D68)/ABS(D68)))),-1)</f>
        <v>-0.32310170177618591</v>
      </c>
      <c r="F68" s="369">
        <v>99814.979000000007</v>
      </c>
      <c r="G68" s="361">
        <v>293558.739</v>
      </c>
      <c r="H68" s="361">
        <v>412077</v>
      </c>
      <c r="I68" s="361">
        <v>432277</v>
      </c>
      <c r="J68" s="158"/>
    </row>
    <row r="69" spans="1:12" ht="14.25" x14ac:dyDescent="0.2">
      <c r="A69" s="248" t="s">
        <v>143</v>
      </c>
      <c r="B69" s="127">
        <f>C397/1000000</f>
        <v>289.71018311237589</v>
      </c>
      <c r="C69" s="249">
        <f>Data!BP2/1000000000</f>
        <v>289.71018311237594</v>
      </c>
      <c r="D69" s="249">
        <f>Data!BP8/1000000000</f>
        <v>327.97157303257177</v>
      </c>
      <c r="E69" s="286">
        <f t="shared" si="6"/>
        <v>-0.11666068972506949</v>
      </c>
      <c r="F69" s="369">
        <v>5956.7712699413114</v>
      </c>
      <c r="G69" s="361">
        <v>6132</v>
      </c>
      <c r="H69" s="361">
        <v>6894</v>
      </c>
      <c r="I69" s="361">
        <v>6619</v>
      </c>
      <c r="J69" s="158"/>
    </row>
    <row r="70" spans="1:12" ht="14.25" x14ac:dyDescent="0.2">
      <c r="A70" s="248" t="s">
        <v>144</v>
      </c>
      <c r="B70" s="127">
        <f>SUM(C408:C414)</f>
        <v>7638701</v>
      </c>
      <c r="C70" s="249">
        <f>B70</f>
        <v>7638701</v>
      </c>
      <c r="D70" s="249">
        <f>Data!BP14</f>
        <v>19613758</v>
      </c>
      <c r="E70" s="286">
        <f t="shared" si="6"/>
        <v>-0.61054373159901332</v>
      </c>
      <c r="F70" s="369">
        <v>7952641</v>
      </c>
      <c r="G70" s="361">
        <v>19047404</v>
      </c>
      <c r="H70" s="361">
        <v>40320362</v>
      </c>
      <c r="I70" s="361">
        <v>60646619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1303</v>
      </c>
      <c r="C73" s="249">
        <f>Data!BR5</f>
        <v>1303</v>
      </c>
      <c r="D73" s="249">
        <f>Data!BR11</f>
        <v>789</v>
      </c>
      <c r="E73" s="286">
        <f t="shared" ref="E73:E76" si="7">IFERROR(IF(OR(AND(D73="",C73=""),AND(D73=0,C73=0)),"",
IF(OR(D73="",D73=0),1,
IF(OR(D73&lt;&gt;"",D73&lt;&gt;0),(C73-D73)/ABS(D73)))),-1)</f>
        <v>0.65145754119138155</v>
      </c>
      <c r="F73" s="369">
        <v>11785</v>
      </c>
      <c r="G73" s="361">
        <v>23654</v>
      </c>
      <c r="H73" s="361">
        <v>22261</v>
      </c>
      <c r="I73" s="361">
        <v>19921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994.60900000000004</v>
      </c>
      <c r="C74" s="249">
        <f>Data!BQ5/1000</f>
        <v>994.60900000000004</v>
      </c>
      <c r="D74" s="249">
        <f>Data!BQ11/1000</f>
        <v>1679.94</v>
      </c>
      <c r="E74" s="286">
        <f t="shared" si="7"/>
        <v>-0.4079496886793576</v>
      </c>
      <c r="F74" s="369">
        <v>13366.045</v>
      </c>
      <c r="G74" s="361">
        <v>18006</v>
      </c>
      <c r="H74" s="361">
        <v>15373</v>
      </c>
      <c r="I74" s="361">
        <v>15764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4.0753214034700003</v>
      </c>
      <c r="C75" s="249">
        <f>Data!BP5/1000000000</f>
        <v>4.0753214034699994</v>
      </c>
      <c r="D75" s="249">
        <f>Data!BP11/1000000000</f>
        <v>2.0006807149100001</v>
      </c>
      <c r="E75" s="286">
        <f t="shared" si="7"/>
        <v>1.0369674046932202</v>
      </c>
      <c r="F75" s="369">
        <v>39.691651686680004</v>
      </c>
      <c r="G75" s="361">
        <v>41</v>
      </c>
      <c r="H75" s="361">
        <v>47</v>
      </c>
      <c r="I75" s="361">
        <v>28</v>
      </c>
      <c r="J75" s="158"/>
      <c r="K75" s="177"/>
    </row>
    <row r="76" spans="1:12" ht="14.25" x14ac:dyDescent="0.2">
      <c r="A76" s="248" t="s">
        <v>144</v>
      </c>
      <c r="B76" s="249">
        <f>SUM(C417:C420)</f>
        <v>2654120</v>
      </c>
      <c r="C76" s="249">
        <f>B76</f>
        <v>2654120</v>
      </c>
      <c r="D76" s="249">
        <f>Data!BP17</f>
        <v>3010616</v>
      </c>
      <c r="E76" s="286">
        <f t="shared" si="7"/>
        <v>-0.11841297594910809</v>
      </c>
      <c r="F76" s="369">
        <v>2075303</v>
      </c>
      <c r="G76" s="361">
        <v>2296842</v>
      </c>
      <c r="H76" s="361">
        <v>2300487</v>
      </c>
      <c r="I76" s="361">
        <v>1541161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Jan 2019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Jan 2019</v>
      </c>
      <c r="C101" s="282" t="str">
        <f>TEXT($H$3,"YYYY")</f>
        <v>2019</v>
      </c>
      <c r="D101" s="283">
        <f>TEXT($H$3,"YYYY")-1</f>
        <v>2018</v>
      </c>
      <c r="E101" s="284" t="s">
        <v>6</v>
      </c>
      <c r="F101" s="284">
        <f>$F$15</f>
        <v>2018</v>
      </c>
      <c r="G101" s="295">
        <f>$G$15</f>
        <v>2017</v>
      </c>
      <c r="H101" s="295">
        <f>$H$15</f>
        <v>2016</v>
      </c>
      <c r="I101" s="295">
        <f>$I$15</f>
        <v>2015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1661</v>
      </c>
      <c r="C103" s="249">
        <f>Data!BR32</f>
        <v>1661</v>
      </c>
      <c r="D103" s="249">
        <f>Data!BR38</f>
        <v>2086</v>
      </c>
      <c r="E103" s="286">
        <f t="shared" ref="E103:E106" si="8">IFERROR(IF(OR(AND(D103="",C103=""),AND(D103=0,C103=0)),"",
IF(OR(D103="",D103=0),1,
IF(OR(D103&lt;&gt;"",D103&lt;&gt;0),(C103-D103)/ABS(D103)))),-1)</f>
        <v>-0.2037392138063279</v>
      </c>
      <c r="F103" s="366">
        <v>12477</v>
      </c>
      <c r="G103" s="249">
        <v>12791</v>
      </c>
      <c r="H103" s="249">
        <v>14410</v>
      </c>
      <c r="I103" s="249">
        <v>9505</v>
      </c>
    </row>
    <row r="104" spans="1:9" ht="14.25" x14ac:dyDescent="0.2">
      <c r="A104" s="248" t="s">
        <v>146</v>
      </c>
      <c r="B104" s="127">
        <f>Data!BQ20</f>
        <v>1875681</v>
      </c>
      <c r="C104" s="249">
        <f>Data!BQ32</f>
        <v>1875681</v>
      </c>
      <c r="D104" s="249">
        <f>Data!BQ38</f>
        <v>2517737</v>
      </c>
      <c r="E104" s="286">
        <f t="shared" si="8"/>
        <v>-0.25501313282523153</v>
      </c>
      <c r="F104" s="366">
        <v>11788350</v>
      </c>
      <c r="G104" s="249">
        <v>11946344</v>
      </c>
      <c r="H104" s="249">
        <v>9230179</v>
      </c>
      <c r="I104" s="249">
        <v>5344460</v>
      </c>
    </row>
    <row r="105" spans="1:9" ht="14.25" x14ac:dyDescent="0.2">
      <c r="A105" s="248" t="s">
        <v>119</v>
      </c>
      <c r="B105" s="127">
        <f>Data!BP20/1000000</f>
        <v>199825.27016055002</v>
      </c>
      <c r="C105" s="249">
        <f>Data!BP32/1000000</f>
        <v>199825.27016055002</v>
      </c>
      <c r="D105" s="249">
        <f>Data!BP38/1000000</f>
        <v>281811.42672390997</v>
      </c>
      <c r="E105" s="286">
        <f t="shared" si="8"/>
        <v>-0.29092559345963503</v>
      </c>
      <c r="F105" s="366">
        <v>1282927.0514813701</v>
      </c>
      <c r="G105" s="249">
        <v>1329270</v>
      </c>
      <c r="H105" s="249">
        <v>1073119</v>
      </c>
      <c r="I105" s="249">
        <v>698663</v>
      </c>
    </row>
    <row r="106" spans="1:9" ht="14.25" x14ac:dyDescent="0.2">
      <c r="A106" s="248" t="s">
        <v>144</v>
      </c>
      <c r="B106" s="127">
        <f>Data!BP26</f>
        <v>1121187</v>
      </c>
      <c r="C106" s="249">
        <f>B106</f>
        <v>1121187</v>
      </c>
      <c r="D106" s="249">
        <f>Data!BP44</f>
        <v>1378397</v>
      </c>
      <c r="E106" s="286">
        <f t="shared" si="8"/>
        <v>-0.18660081239294629</v>
      </c>
      <c r="F106" s="366">
        <v>829599</v>
      </c>
      <c r="G106" s="249">
        <v>1021723</v>
      </c>
      <c r="H106" s="249">
        <v>802030</v>
      </c>
      <c r="I106" s="249">
        <v>621382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31</v>
      </c>
      <c r="C109" s="127">
        <f>Data!BR35</f>
        <v>31</v>
      </c>
      <c r="D109" s="127">
        <f>Data!BR41</f>
        <v>99</v>
      </c>
      <c r="E109" s="286">
        <f t="shared" ref="E109:E112" si="9">IFERROR(IF(OR(AND(D109="",C109=""),AND(D109=0,C109=0)),"",
IF(OR(D109="",D109=0),1,
IF(OR(D109&lt;&gt;"",D109&lt;&gt;0),(C109-D109)/ABS(D109)))),-1)</f>
        <v>-0.68686868686868685</v>
      </c>
      <c r="F109" s="127">
        <v>949</v>
      </c>
      <c r="G109" s="127">
        <v>809</v>
      </c>
      <c r="H109" s="127">
        <v>825</v>
      </c>
      <c r="I109" s="127">
        <v>1013</v>
      </c>
    </row>
    <row r="110" spans="1:9" ht="14.25" x14ac:dyDescent="0.2">
      <c r="A110" s="248" t="s">
        <v>146</v>
      </c>
      <c r="B110" s="127">
        <f>Data!BQ23</f>
        <v>19110</v>
      </c>
      <c r="C110" s="127">
        <f>Data!BQ35</f>
        <v>19110</v>
      </c>
      <c r="D110" s="127">
        <f>Data!BQ41</f>
        <v>60405</v>
      </c>
      <c r="E110" s="286">
        <f t="shared" si="9"/>
        <v>-0.68363546064067549</v>
      </c>
      <c r="F110" s="127">
        <v>428713</v>
      </c>
      <c r="G110" s="127">
        <v>307322</v>
      </c>
      <c r="H110" s="127">
        <v>205539</v>
      </c>
      <c r="I110" s="127">
        <v>348297</v>
      </c>
    </row>
    <row r="111" spans="1:9" ht="14.25" x14ac:dyDescent="0.2">
      <c r="A111" s="248" t="s">
        <v>196</v>
      </c>
      <c r="B111" s="127">
        <f>Data!BP23/1000000</f>
        <v>2119.8883009000001</v>
      </c>
      <c r="C111" s="127">
        <f>Data!BP35/1000000</f>
        <v>2119.8883009000001</v>
      </c>
      <c r="D111" s="127">
        <f>Data!BP41/1000000</f>
        <v>6370.8727609999996</v>
      </c>
      <c r="E111" s="286">
        <f t="shared" si="9"/>
        <v>-0.66725307812186574</v>
      </c>
      <c r="F111" s="127">
        <v>42643.41678146</v>
      </c>
      <c r="G111" s="127">
        <v>29060</v>
      </c>
      <c r="H111" s="127">
        <v>21987</v>
      </c>
      <c r="I111" s="127">
        <v>37202</v>
      </c>
    </row>
    <row r="112" spans="1:9" ht="15" thickBot="1" x14ac:dyDescent="0.25">
      <c r="A112" s="289" t="s">
        <v>144</v>
      </c>
      <c r="B112" s="128">
        <f>Data!BP29</f>
        <v>143550</v>
      </c>
      <c r="C112" s="128">
        <f>B112</f>
        <v>143550</v>
      </c>
      <c r="D112" s="128">
        <f>Data!BP47</f>
        <v>153746</v>
      </c>
      <c r="E112" s="291">
        <f t="shared" si="9"/>
        <v>-6.6317172479284009E-2</v>
      </c>
      <c r="F112" s="128">
        <v>140000</v>
      </c>
      <c r="G112" s="128">
        <v>97761</v>
      </c>
      <c r="H112" s="128">
        <v>36955</v>
      </c>
      <c r="I112" s="128">
        <v>75609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Jan 2019</v>
      </c>
      <c r="C119" s="282" t="str">
        <f>TEXT($H$3,"YYYY")</f>
        <v>2019</v>
      </c>
      <c r="D119" s="282">
        <f>TEXT($H$3,"YYYY")-1</f>
        <v>2018</v>
      </c>
      <c r="E119" s="284" t="s">
        <v>6</v>
      </c>
      <c r="F119" s="284">
        <f>TEXT($H$3,"YYYY")-1</f>
        <v>2018</v>
      </c>
      <c r="G119" s="295">
        <f>TEXT($H$3,"YYYY")-2</f>
        <v>2017</v>
      </c>
      <c r="H119" s="295">
        <f>TEXT($H$3,"YYYY")-3</f>
        <v>2016</v>
      </c>
      <c r="I119" s="295">
        <f>TEXT($H$3,"YYYY")-4</f>
        <v>2015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3018</v>
      </c>
      <c r="C121" s="249">
        <f>Data!BR60</f>
        <v>3018</v>
      </c>
      <c r="D121" s="249">
        <f>Data!BR66</f>
        <v>3300</v>
      </c>
      <c r="E121" s="286">
        <f t="shared" ref="E121:E123" si="10">IFERROR(IF(OR(AND(D121="",C121=""),AND(D121=0,C121=0)),"",
IF(OR(D121="",D121=0),1,
IF(OR(D121&lt;&gt;"",D121&lt;&gt;0),(C121-D121)/ABS(D121)))),-1)</f>
        <v>-8.545454545454545E-2</v>
      </c>
      <c r="F121" s="366">
        <v>51664</v>
      </c>
      <c r="G121" s="249">
        <v>65590</v>
      </c>
      <c r="H121" s="249">
        <v>66920</v>
      </c>
      <c r="I121" s="249">
        <v>57891</v>
      </c>
      <c r="J121" s="62"/>
    </row>
    <row r="122" spans="1:12" ht="14.25" x14ac:dyDescent="0.2">
      <c r="A122" s="248" t="s">
        <v>146</v>
      </c>
      <c r="B122" s="249">
        <f>Data!BQ50</f>
        <v>1803921</v>
      </c>
      <c r="C122" s="249">
        <f>Data!BQ60</f>
        <v>1803921</v>
      </c>
      <c r="D122" s="249">
        <f>Data!BQ66</f>
        <v>2323459</v>
      </c>
      <c r="E122" s="286">
        <f t="shared" si="10"/>
        <v>-0.22360540900441969</v>
      </c>
      <c r="F122" s="366">
        <v>41807458</v>
      </c>
      <c r="G122" s="249">
        <v>47794037</v>
      </c>
      <c r="H122" s="249">
        <v>34293431</v>
      </c>
      <c r="I122" s="249">
        <v>33917069</v>
      </c>
      <c r="J122" s="62"/>
    </row>
    <row r="123" spans="1:12" ht="14.25" x14ac:dyDescent="0.2">
      <c r="A123" s="248" t="s">
        <v>119</v>
      </c>
      <c r="B123" s="249">
        <f>Data!BP50/1000000</f>
        <v>25368.800619599999</v>
      </c>
      <c r="C123" s="249">
        <f>Data!BP60/1000000</f>
        <v>25368.800619599999</v>
      </c>
      <c r="D123" s="249">
        <f>Data!BP66/1000000</f>
        <v>29325.3090964</v>
      </c>
      <c r="E123" s="286">
        <f t="shared" si="10"/>
        <v>-0.13491787806204933</v>
      </c>
      <c r="F123" s="366">
        <v>581025.42725614086</v>
      </c>
      <c r="G123" s="249">
        <v>656092</v>
      </c>
      <c r="H123" s="249">
        <v>522169</v>
      </c>
      <c r="I123" s="249">
        <v>446203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1541240</v>
      </c>
      <c r="C124" s="249">
        <f>B124</f>
        <v>1541240</v>
      </c>
      <c r="D124" s="249">
        <f>VLOOKUP("Future",Data!$BP$71:$BQ$73,2,FALSE)</f>
        <v>1567597</v>
      </c>
      <c r="E124" s="286">
        <f>IFERROR(IF(OR(AND(D124="",C124=""),AND(D124=0,C124=0)),"",
IF(OR(D124="",D124=0),1,
IF(OR(D124&lt;&gt;"",D124&lt;&gt;0),(C124-D124)/ABS(D124)))),-1)</f>
        <v>-1.6813632585415766E-2</v>
      </c>
      <c r="F124" s="366">
        <v>1408969</v>
      </c>
      <c r="G124" s="249">
        <v>2066426</v>
      </c>
      <c r="H124" s="249">
        <v>1090978</v>
      </c>
      <c r="I124" s="249">
        <v>1414841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157</v>
      </c>
      <c r="C127" s="249">
        <f>Data!BR63</f>
        <v>157</v>
      </c>
      <c r="D127" s="249">
        <f>Data!BR69</f>
        <v>243</v>
      </c>
      <c r="E127" s="286">
        <f t="shared" ref="E127:E129" si="11">IFERROR(IF(OR(AND(D127="",C127=""),AND(D127=0,C127=0)),"",
IF(OR(D127="",D127=0),1,
IF(OR(D127&lt;&gt;"",D127&lt;&gt;0),(C127-D127)/ABS(D127)))),-1)</f>
        <v>-0.35390946502057613</v>
      </c>
      <c r="F127" s="366">
        <v>3561</v>
      </c>
      <c r="G127" s="249">
        <v>4441</v>
      </c>
      <c r="H127" s="249">
        <v>3271</v>
      </c>
      <c r="I127" s="249">
        <v>2622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1083121</v>
      </c>
      <c r="C128" s="249">
        <f>Data!BQ63</f>
        <v>1083121</v>
      </c>
      <c r="D128" s="249">
        <f>Data!BQ69</f>
        <v>2233443</v>
      </c>
      <c r="E128" s="286">
        <f t="shared" si="11"/>
        <v>-0.51504426125940983</v>
      </c>
      <c r="F128" s="366">
        <v>32395827</v>
      </c>
      <c r="G128" s="249">
        <v>20574664</v>
      </c>
      <c r="H128" s="249">
        <v>14030889</v>
      </c>
      <c r="I128" s="249">
        <v>11251621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15074.606705799999</v>
      </c>
      <c r="C129" s="249">
        <f>Data!BP63/1000000</f>
        <v>15074.606705799999</v>
      </c>
      <c r="D129" s="249">
        <f>Data!BP69/1000000</f>
        <v>29114.850223000001</v>
      </c>
      <c r="E129" s="286">
        <f t="shared" si="11"/>
        <v>-0.48223650163615001</v>
      </c>
      <c r="F129" s="366">
        <v>534905.66815842502</v>
      </c>
      <c r="G129" s="249">
        <v>290641</v>
      </c>
      <c r="H129" s="249">
        <v>212036</v>
      </c>
      <c r="I129" s="249">
        <v>157773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4955313</v>
      </c>
      <c r="C130" s="249">
        <f>MarketProfile!B130</f>
        <v>4955313</v>
      </c>
      <c r="D130" s="249">
        <f>VLOOKUP("Option",Data!$BP$71:$BQ$73,2,FALSE)</f>
        <v>3608052</v>
      </c>
      <c r="E130" s="286">
        <f>IFERROR(IF(OR(AND(D130="",C130=""),AND(D130=0,C130=0)),"",
IF(OR(D130="",D130=0),1,
IF(OR(D130&lt;&gt;"",D130&lt;&gt;0),(C130-D130)/ABS(D130)))),-1)</f>
        <v>0.3734039864170472</v>
      </c>
      <c r="F130" s="366">
        <v>5489721</v>
      </c>
      <c r="G130" s="249">
        <v>4526266</v>
      </c>
      <c r="H130" s="249">
        <v>1240499</v>
      </c>
      <c r="I130" s="249">
        <v>1917456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Jan 2019</v>
      </c>
      <c r="C136" s="282" t="str">
        <f>TEXT($H$3,"YYYY")</f>
        <v>2019</v>
      </c>
      <c r="D136" s="282">
        <f>TEXT($H$3,"YYYY")-1</f>
        <v>2018</v>
      </c>
      <c r="E136" s="284" t="s">
        <v>6</v>
      </c>
      <c r="F136" s="284">
        <f>TEXT($H$3,"YYYY")-1</f>
        <v>2018</v>
      </c>
      <c r="G136" s="295">
        <f>TEXT($H$3,"YYYY")-2</f>
        <v>2017</v>
      </c>
      <c r="H136" s="295">
        <f>TEXT($H$3,"YYYY")-3</f>
        <v>2016</v>
      </c>
      <c r="I136" s="295">
        <f>TEXT($H$3,"YYYY")-4</f>
        <v>2015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33307</v>
      </c>
      <c r="C138" s="249">
        <f>Data!BR76</f>
        <v>33307</v>
      </c>
      <c r="D138" s="249">
        <f>Data!BR82</f>
        <v>39102</v>
      </c>
      <c r="E138" s="286">
        <f>IFERROR(IF(OR(AND(D138="",C138=""),AND(D138=0,C138=0)),"",
IF(OR(D138="",D138=0),1,
IF(OR(D138&lt;&gt;"",D138&lt;&gt;0),(C138-D138)/ABS(D138)))),-1)</f>
        <v>-0.14820213799805637</v>
      </c>
      <c r="F138" s="366">
        <v>401483</v>
      </c>
      <c r="G138" s="249">
        <v>345698</v>
      </c>
      <c r="H138" s="249">
        <v>343265</v>
      </c>
      <c r="I138" s="249">
        <v>319935</v>
      </c>
    </row>
    <row r="139" spans="1:12" ht="14.25" x14ac:dyDescent="0.2">
      <c r="A139" s="248" t="s">
        <v>142</v>
      </c>
      <c r="B139" s="249">
        <f>SUMIFS(Data!$AB:$AB,Data!$AE:$AE,"1")/1000</f>
        <v>206.184</v>
      </c>
      <c r="C139" s="249">
        <f>Data!BQ76</f>
        <v>206184</v>
      </c>
      <c r="D139" s="249">
        <f>Data!BQ82</f>
        <v>229895</v>
      </c>
      <c r="E139" s="286">
        <f t="shared" ref="E139:E141" si="12">IFERROR(IF(OR(AND(D139="",C139=""),AND(D139=0,C139=0)),"",
IF(OR(D139="",D139=0),1,
IF(OR(D139&lt;&gt;"",D139&lt;&gt;0),(C139-D139)/ABS(D139)))),-1)</f>
        <v>-0.1031383892646643</v>
      </c>
      <c r="F139" s="366">
        <v>3080836</v>
      </c>
      <c r="G139" s="249">
        <v>2718.489</v>
      </c>
      <c r="H139" s="249">
        <v>2955</v>
      </c>
      <c r="I139" s="249">
        <v>2956</v>
      </c>
    </row>
    <row r="140" spans="1:12" ht="14.25" x14ac:dyDescent="0.2">
      <c r="A140" s="248" t="s">
        <v>119</v>
      </c>
      <c r="B140" s="249">
        <f>SUMIFS(Data!$AA:$AA,Data!$AE:$AE,"1")/1000000</f>
        <v>55955.067872221975</v>
      </c>
      <c r="C140" s="249">
        <f>Data!BP76/1000000</f>
        <v>55955.067872221975</v>
      </c>
      <c r="D140" s="249">
        <f>Data!BP82/1000000</f>
        <v>46759.607667574986</v>
      </c>
      <c r="E140" s="286">
        <f t="shared" si="12"/>
        <v>0.19665392126511563</v>
      </c>
      <c r="F140" s="366">
        <v>674379.25017648982</v>
      </c>
      <c r="G140" s="249">
        <v>566037</v>
      </c>
      <c r="H140" s="249">
        <v>943312</v>
      </c>
      <c r="I140" s="249">
        <v>736984</v>
      </c>
    </row>
    <row r="141" spans="1:12" ht="14.25" x14ac:dyDescent="0.2">
      <c r="A141" s="248" t="s">
        <v>144</v>
      </c>
      <c r="B141" s="249">
        <f>SUMIFS(Data!$AK:$AK,Data!$AL:$AL,"1")</f>
        <v>99294</v>
      </c>
      <c r="C141" s="249">
        <f>B141</f>
        <v>99294</v>
      </c>
      <c r="D141" s="249">
        <f>Data!BP88</f>
        <v>116392</v>
      </c>
      <c r="E141" s="286">
        <f t="shared" si="12"/>
        <v>-0.14690013059316792</v>
      </c>
      <c r="F141" s="366">
        <v>111034</v>
      </c>
      <c r="G141" s="249">
        <v>117783</v>
      </c>
      <c r="H141" s="249">
        <v>65553</v>
      </c>
      <c r="I141" s="249">
        <v>89089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5642</v>
      </c>
      <c r="C144" s="249">
        <f>Data!BR79</f>
        <v>5642</v>
      </c>
      <c r="D144" s="249">
        <f>Data!BR85</f>
        <v>3749</v>
      </c>
      <c r="E144" s="286">
        <f>IFERROR(IF(OR(AND(D144="",C144=""),AND(D144=0,C144=0)),"",
IF(OR(D144="",D144=0),1,
IF(OR(D144&lt;&gt;"",D144&lt;&gt;0),(C144-D144)/ABS(D144)))),-1)</f>
        <v>0.50493464923979725</v>
      </c>
      <c r="F144" s="366">
        <v>34033</v>
      </c>
      <c r="G144" s="249">
        <v>30024</v>
      </c>
      <c r="H144" s="249">
        <v>43815</v>
      </c>
      <c r="I144" s="249">
        <v>42966</v>
      </c>
    </row>
    <row r="145" spans="1:10" ht="14.25" x14ac:dyDescent="0.2">
      <c r="A145" s="248" t="s">
        <v>142</v>
      </c>
      <c r="B145" s="249">
        <f>SUMIFS(Data!$AB:$AB,Data!$AE:$AE,"0")/1000</f>
        <v>50.591999999999999</v>
      </c>
      <c r="C145" s="249">
        <f>Data!BQ79</f>
        <v>50592</v>
      </c>
      <c r="D145" s="249">
        <f>Data!BQ85</f>
        <v>35602</v>
      </c>
      <c r="E145" s="286">
        <f t="shared" ref="E145:E146" si="13">IFERROR(IF(OR(AND(D145="",C145=""),AND(D145=0,C145=0)),"",
IF(OR(D145="",D145=0),1,
IF(OR(D145&lt;&gt;"",D145&lt;&gt;0),(C145-D145)/ABS(D145)))),-1)</f>
        <v>0.42104376158642776</v>
      </c>
      <c r="F145" s="366">
        <v>351110</v>
      </c>
      <c r="G145" s="249">
        <v>291</v>
      </c>
      <c r="H145" s="249">
        <v>471</v>
      </c>
      <c r="I145" s="249">
        <v>544</v>
      </c>
    </row>
    <row r="146" spans="1:10" ht="14.25" x14ac:dyDescent="0.2">
      <c r="A146" s="248" t="s">
        <v>119</v>
      </c>
      <c r="B146" s="249">
        <f>SUMIFS(Data!$AA:$AA,Data!$AE:$AE,"0")/1000000</f>
        <v>1725.3375291199902</v>
      </c>
      <c r="C146" s="249">
        <f>Data!BP79/1000000</f>
        <v>1725.3375291199902</v>
      </c>
      <c r="D146" s="249">
        <f>Data!BP85/1000000</f>
        <v>298.00041052</v>
      </c>
      <c r="E146" s="286">
        <f t="shared" si="13"/>
        <v>4.7897152762619966</v>
      </c>
      <c r="F146" s="366">
        <v>4094.2647203499801</v>
      </c>
      <c r="G146" s="249">
        <v>3233</v>
      </c>
      <c r="H146" s="249">
        <v>14527</v>
      </c>
      <c r="I146" s="249">
        <v>12378</v>
      </c>
    </row>
    <row r="147" spans="1:10" ht="14.25" x14ac:dyDescent="0.2">
      <c r="A147" s="248" t="s">
        <v>144</v>
      </c>
      <c r="B147" s="249">
        <f>SUMIFS(Data!$AK:$AK,Data!$AL:$AL,"0")</f>
        <v>85119</v>
      </c>
      <c r="C147" s="249">
        <f>B147</f>
        <v>85119</v>
      </c>
      <c r="D147" s="249">
        <f>Data!BP91</f>
        <v>62287</v>
      </c>
      <c r="E147" s="286">
        <f>IFERROR(IF(OR(AND(D147="",C147=""),AND(D147=0,C147=0)),"",
IF(OR(D147="",D147=0),1,
IF(OR(D147&lt;&gt;"",D147&lt;&gt;0),(C147-D147)/ABS(D147)))),-1)</f>
        <v>0.36656124070833401</v>
      </c>
      <c r="F147" s="366">
        <v>71176</v>
      </c>
      <c r="G147" s="249">
        <v>50578</v>
      </c>
      <c r="H147" s="249">
        <v>36968</v>
      </c>
      <c r="I147" s="249">
        <v>87294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Jan 2019</v>
      </c>
      <c r="C153" s="282" t="str">
        <f>TEXT(DATE(2000,TEXT(H3,"M")-1,1),"mmm")&amp; " "&amp; TEXT(H3,"YYYY")</f>
        <v>Dec 2019</v>
      </c>
      <c r="D153" s="284" t="s">
        <v>121</v>
      </c>
      <c r="E153" s="282"/>
      <c r="F153" s="282"/>
      <c r="G153" s="282" t="str">
        <f>TEXT($H$3,"MMM")&amp;" "&amp;TEXT($H$3,"YYYY")</f>
        <v>Jan 2019</v>
      </c>
      <c r="H153" s="282" t="str">
        <f>TEXT($H$3,"MMM")&amp;" "&amp;TEXT($H$3,"YYYY")-1</f>
        <v>Jan 2018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134066.47485971477</v>
      </c>
      <c r="C154" s="322">
        <f>VLOOKUP("ABuy",Data!$J$7:$M$11,4,FALSE)/1000000</f>
        <v>124844.82564184198</v>
      </c>
      <c r="D154" s="186">
        <f>((B154/C154)-1)</f>
        <v>7.3864889237204689E-2</v>
      </c>
      <c r="E154" s="322"/>
      <c r="F154" s="322"/>
      <c r="G154" s="322">
        <f>VLOOKUP("Abuy",Data!$J$13:$M$17,4,FALSE)/1000000</f>
        <v>129705.44024102</v>
      </c>
      <c r="H154" s="322">
        <f>VLOOKUP("Abuy",Data!$J$19:$M$23,4,FALSE)/1000000</f>
        <v>119874.66966022499</v>
      </c>
      <c r="I154" s="200">
        <f>((G154/H154)-1)</f>
        <v>8.200873970005107E-2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144476.40076409382</v>
      </c>
      <c r="C155" s="322">
        <f>VLOOKUP("Asell",Data!$J$7:$M$11,4,FALSE)/1000000</f>
        <v>120815.89523461518</v>
      </c>
      <c r="D155" s="200">
        <f t="shared" ref="D155:D157" si="14">((B155/C155)-1)</f>
        <v>0.19583934285742588</v>
      </c>
      <c r="E155" s="322"/>
      <c r="F155" s="322"/>
      <c r="G155" s="322">
        <f>VLOOKUP("Asell",Data!$J$13:$M$17,4,FALSE)/1000000</f>
        <v>139848.09320208</v>
      </c>
      <c r="H155" s="322">
        <f>VLOOKUP("Asell",Data!$J$19:$M$23,4,FALSE)/1000000</f>
        <v>115805.14316758499</v>
      </c>
      <c r="I155" s="200">
        <f t="shared" ref="I155:I157" si="15">((G155/H155)-1)</f>
        <v>0.20761556332348508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235043.34768088555</v>
      </c>
      <c r="C156" s="322">
        <f>VLOOKUP("Pbuy",Data!$J$7:$M$11,4,FALSE)/1000000</f>
        <v>197576.32437629078</v>
      </c>
      <c r="D156" s="200">
        <f t="shared" si="14"/>
        <v>0.1896331628947483</v>
      </c>
      <c r="E156" s="322"/>
      <c r="F156" s="322"/>
      <c r="G156" s="322">
        <f>VLOOKUP("Pbuy",Data!$J$13:$M$17,4,FALSE)/1000000</f>
        <v>221813.58106267001</v>
      </c>
      <c r="H156" s="322">
        <f>VLOOKUP("Pbuy",Data!$J$19:$M$23,4,FALSE)/1000000</f>
        <v>190258.15867388001</v>
      </c>
      <c r="I156" s="200">
        <f t="shared" si="15"/>
        <v>0.16585581721559128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224633.42177650656</v>
      </c>
      <c r="C157" s="322">
        <f>VLOOKUP("Psell",Data!$J$7:$M$11,4,FALSE)/1000000</f>
        <v>201605.25478351762</v>
      </c>
      <c r="D157" s="200">
        <f t="shared" si="14"/>
        <v>0.11422404151973331</v>
      </c>
      <c r="E157" s="322"/>
      <c r="F157" s="322"/>
      <c r="G157" s="322">
        <f>VLOOKUP("Psell",Data!$J$13:$M$17,4,FALSE)/1000000</f>
        <v>211670.92810160998</v>
      </c>
      <c r="H157" s="322">
        <f>VLOOKUP("Psell",Data!$J$19:$M$23,4,FALSE)/1000000</f>
        <v>194327.68516651998</v>
      </c>
      <c r="I157" s="200">
        <f t="shared" si="15"/>
        <v>8.9247411763426987E-2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96" t="s">
        <v>128</v>
      </c>
      <c r="E160" s="396"/>
      <c r="F160" s="284" t="s">
        <v>129</v>
      </c>
      <c r="G160" s="392" t="s">
        <v>130</v>
      </c>
      <c r="H160" s="392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95">
        <v>1959547</v>
      </c>
      <c r="E162" s="395"/>
      <c r="F162" s="335">
        <v>42349</v>
      </c>
      <c r="G162" s="395">
        <v>7331360</v>
      </c>
      <c r="H162" s="395"/>
      <c r="I162" s="198" t="s">
        <v>533</v>
      </c>
    </row>
    <row r="163" spans="1:10" ht="14.25" x14ac:dyDescent="0.2">
      <c r="A163" s="248" t="s">
        <v>523</v>
      </c>
      <c r="B163" s="368">
        <v>1762606.3540000001</v>
      </c>
      <c r="C163" s="374">
        <v>43439</v>
      </c>
      <c r="D163" s="395">
        <f>2513652909/1000000</f>
        <v>2513.6529089999999</v>
      </c>
      <c r="E163" s="395"/>
      <c r="F163" s="335">
        <v>42349</v>
      </c>
      <c r="G163" s="395">
        <v>9748834</v>
      </c>
      <c r="H163" s="395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95">
        <v>165827</v>
      </c>
      <c r="E164" s="395"/>
      <c r="F164" s="335">
        <v>42631</v>
      </c>
      <c r="G164" s="395">
        <v>612552</v>
      </c>
      <c r="H164" s="395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Jan 2019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">
        <v>669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86" t="s">
        <v>209</v>
      </c>
      <c r="G182" s="386"/>
      <c r="H182" s="386"/>
      <c r="I182" s="386"/>
    </row>
    <row r="183" spans="1:11" ht="15.75" thickBot="1" x14ac:dyDescent="0.3">
      <c r="A183" s="295"/>
      <c r="B183" s="320" t="s">
        <v>668</v>
      </c>
      <c r="C183" s="284" t="s">
        <v>16</v>
      </c>
      <c r="D183" s="320">
        <v>43070</v>
      </c>
      <c r="E183" s="321" t="s">
        <v>16</v>
      </c>
      <c r="F183" s="295">
        <f>TEXT($H$3,"YYYY")-1</f>
        <v>2018</v>
      </c>
      <c r="G183" s="284">
        <f>TEXT($H$3,"YYYY")-2</f>
        <v>2017</v>
      </c>
      <c r="H183" s="295">
        <f>TEXT($H$3,"YYYY")-3</f>
        <v>2016</v>
      </c>
      <c r="I183" s="284">
        <f>TEXT($H$3,"YYYY")-4</f>
        <v>2015</v>
      </c>
    </row>
    <row r="184" spans="1:11" ht="14.25" x14ac:dyDescent="0.2">
      <c r="A184" s="248" t="s">
        <v>17</v>
      </c>
      <c r="B184" s="369">
        <v>865327.65010603901</v>
      </c>
      <c r="C184" s="345">
        <v>19</v>
      </c>
      <c r="D184" s="369">
        <v>1230977</v>
      </c>
      <c r="E184" s="345">
        <v>17</v>
      </c>
      <c r="F184" s="305">
        <v>19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22419.15933664775</v>
      </c>
      <c r="C185" s="345">
        <v>19</v>
      </c>
      <c r="D185" s="369">
        <v>46507</v>
      </c>
      <c r="E185" s="345">
        <v>20</v>
      </c>
      <c r="F185" s="305">
        <v>19</v>
      </c>
      <c r="G185" s="345">
        <v>20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363">
        <v>0.45855521192033244</v>
      </c>
      <c r="C186" s="345">
        <v>25</v>
      </c>
      <c r="D186" s="363">
        <v>0.31059999999999999</v>
      </c>
      <c r="E186" s="345">
        <v>30</v>
      </c>
      <c r="F186" s="305">
        <v>25</v>
      </c>
      <c r="G186" s="345">
        <v>30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363">
        <v>0.29905027595019135</v>
      </c>
      <c r="C187" s="345">
        <v>30</v>
      </c>
      <c r="D187" s="363">
        <v>0.40610000000000002</v>
      </c>
      <c r="E187" s="345">
        <v>25</v>
      </c>
      <c r="F187" s="305">
        <v>30</v>
      </c>
      <c r="G187" s="345">
        <v>25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376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Jan 2019</v>
      </c>
      <c r="C196" s="282" t="str">
        <f>TEXT($H$3,"YYYY")</f>
        <v>2019</v>
      </c>
      <c r="D196" s="282">
        <f>TEXT($H$3,"YYYY")-1</f>
        <v>2018</v>
      </c>
      <c r="E196" s="284" t="s">
        <v>6</v>
      </c>
      <c r="F196" s="284">
        <f>TEXT($H$3,"YYYY")-1</f>
        <v>2018</v>
      </c>
      <c r="G196" s="284">
        <f>TEXT($H$3,"YYYY")-2</f>
        <v>2017</v>
      </c>
      <c r="H196" s="284">
        <f>TEXT($H$3,"YYYY")-3</f>
        <v>2016</v>
      </c>
      <c r="I196" s="284">
        <f>TEXT($H$3,"YYYY")-4</f>
        <v>2015</v>
      </c>
    </row>
    <row r="197" spans="1:9" ht="14.25" x14ac:dyDescent="0.2">
      <c r="A197" s="248" t="s">
        <v>21</v>
      </c>
      <c r="B197" s="195">
        <f>SUMIF(Data!$DG$1:$DG$15,"AS",Data!$DH$1:$DH$15)/1000000</f>
        <v>299.99999400000002</v>
      </c>
      <c r="C197" s="361">
        <f>SUMIF(Data!$DJ$1:$DJ$15,"AS",Data!$DK$1:$DK$15)/1000000</f>
        <v>299.99999400000002</v>
      </c>
      <c r="D197" s="361">
        <f>SUMIF(Data!$DM$1:$DM$15,"AS",Data!$DN$1:$DN$15)/1000000</f>
        <v>0</v>
      </c>
      <c r="E197" s="363">
        <f>IFERROR(IF(OR(AND(D197="",C197=""),AND(D197=0,C197=0)),0,
IF(OR(D197="",D197=0),1,
IF(OR(D197&lt;&gt;"",D197&lt;&gt;0),(C197-D197)/ABS(D197)))),-1)</f>
        <v>1</v>
      </c>
      <c r="F197" s="368">
        <v>5231.2276068800002</v>
      </c>
      <c r="G197" s="361">
        <v>23315</v>
      </c>
      <c r="H197" s="361">
        <v>13085</v>
      </c>
      <c r="I197" s="361">
        <v>93130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0</v>
      </c>
      <c r="C198" s="361">
        <f>(SUMIF(Data!$DJ$1:$DJ$15,"RT",Data!$DK$1:$DK$15)+SUMIF(Data!$DJ$1:$DJ$15,"TU",Data!$DK$1:$DK$15))/1000000</f>
        <v>0</v>
      </c>
      <c r="D198" s="361">
        <f>(SUMIF(Data!$DM$1:$DM$15,"RT",Data!$DN$1:$DN$15)+SUMIF(Data!$DM$1:$DM$15,"TU",Data!$DN$1:$DN$15))/1000000</f>
        <v>747.99999700000001</v>
      </c>
      <c r="E198" s="363">
        <f t="shared" ref="E198:E201" si="16">IFERROR(IF(OR(AND(D198="",C198=""),AND(D198=0,C198=0)),0,
IF(OR(D198="",D198=0),1,
IF(OR(D198&lt;&gt;"",D198&lt;&gt;0),(C198-D198)/ABS(D198)))),-1)</f>
        <v>-1</v>
      </c>
      <c r="F198" s="368">
        <v>5097.3845491599996</v>
      </c>
      <c r="G198" s="361">
        <v>32688</v>
      </c>
      <c r="H198" s="361">
        <v>24160</v>
      </c>
      <c r="I198" s="361">
        <v>35842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>
        <v>0</v>
      </c>
      <c r="G199" s="185" t="s">
        <v>536</v>
      </c>
      <c r="H199" s="185" t="s">
        <v>534</v>
      </c>
      <c r="I199" s="185" t="s">
        <v>535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47.535768479999994</v>
      </c>
      <c r="C200" s="361">
        <f>(SUMIF(Data!$DJ$1:$DJ$15,"SO",Data!$DK$1:$DK$15)+SUMIF(Data!$DJ$1:$DJ$15,"SS",Data!$DK$1:$DK$15))/1000000</f>
        <v>47.535768479999994</v>
      </c>
      <c r="D200" s="361">
        <f>(SUMIF(Data!$DM$1:$DM$15,"SO",Data!$DN$1:$DN$15)+SUMIF(Data!$DM$1:$DM$15,"SS",Data!$DN$1:$DN$15))/1000000</f>
        <v>147.96824587</v>
      </c>
      <c r="E200" s="363">
        <f t="shared" si="16"/>
        <v>-0.67874344795731811</v>
      </c>
      <c r="F200" s="368">
        <v>6460.5835560900005</v>
      </c>
      <c r="G200" s="361">
        <v>9468</v>
      </c>
      <c r="H200" s="361">
        <v>9374</v>
      </c>
      <c r="I200" s="361">
        <v>11688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6.7000000000000004E-2</v>
      </c>
      <c r="C201" s="361">
        <f>(SUMIF(Data!$DJ$1:$DJ$15,"SI",Data!$DK$1:$DK$15)+SUMIF(Data!$DJ$1:$DJ$15,"GI",Data!$DK$1:$DK$15))/1000000</f>
        <v>6.7000000000000004E-2</v>
      </c>
      <c r="D201" s="361">
        <f>(SUMIF(Data!$DM$1:$DM$15,"SI",Data!$DN$1:$DN$15)+SUMIF(Data!$DM$1:$DM$15,"GI",Data!$DN$1:$DN$15))/1000000</f>
        <v>2115.2983480399998</v>
      </c>
      <c r="E201" s="363">
        <f t="shared" si="16"/>
        <v>-0.99996832598103147</v>
      </c>
      <c r="F201" s="368">
        <v>38830.473978949994</v>
      </c>
      <c r="G201" s="361">
        <v>35048</v>
      </c>
      <c r="H201" s="361">
        <v>69649</v>
      </c>
      <c r="I201" s="361">
        <v>109530</v>
      </c>
    </row>
    <row r="202" spans="1:9" ht="15" x14ac:dyDescent="0.25">
      <c r="A202" s="288" t="s">
        <v>25</v>
      </c>
      <c r="B202" s="362">
        <f>SUM(B197:B201)</f>
        <v>347.60276248000002</v>
      </c>
      <c r="C202" s="362">
        <f>SUM(C197:C201)</f>
        <v>347.60276248000002</v>
      </c>
      <c r="D202" s="362">
        <f>SUM(D197:D201)</f>
        <v>3011.2665909099996</v>
      </c>
      <c r="E202" s="364">
        <f>IFERROR(IF(OR(AND(D202="",C202=""),AND(D202=0,C202=0)),0,
IF(OR(D202="",D202=0),1,
IF(OR(D202&lt;&gt;"",D202&lt;&gt;0),(C202-D202)/ABS(D202)))),-1)</f>
        <v>-0.88456592865962258</v>
      </c>
      <c r="F202" s="375">
        <v>55619.669691079995</v>
      </c>
      <c r="G202" s="362">
        <v>100520</v>
      </c>
      <c r="H202" s="362">
        <v>116269</v>
      </c>
      <c r="I202" s="362">
        <v>250190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Jan 2019</v>
      </c>
      <c r="C209" s="282" t="str">
        <f>TEXT($H$3,"YYYY")</f>
        <v>2019</v>
      </c>
      <c r="D209" s="282">
        <f>TEXT($H$3,"YYYY")-1</f>
        <v>2018</v>
      </c>
      <c r="E209" s="284" t="s">
        <v>6</v>
      </c>
      <c r="F209" s="284">
        <f>TEXT($H$3,"YYYY")-1</f>
        <v>2018</v>
      </c>
      <c r="G209" s="284">
        <f>TEXT($H$3,"YYYY")-2</f>
        <v>2017</v>
      </c>
      <c r="H209" s="284">
        <f>TEXT($H$3,"YYYY")-3</f>
        <v>2016</v>
      </c>
      <c r="I209" s="284">
        <f>TEXT($H$3,"YYYY")-4</f>
        <v>2015</v>
      </c>
    </row>
    <row r="210" spans="1:9" ht="14.25" x14ac:dyDescent="0.2">
      <c r="A210" s="248" t="s">
        <v>172</v>
      </c>
      <c r="B210" s="286">
        <v>0.32179999999999997</v>
      </c>
      <c r="C210" s="286">
        <v>0.32179999999999997</v>
      </c>
      <c r="D210" s="286">
        <v>0.37309999999999999</v>
      </c>
      <c r="E210" s="286">
        <f>IFERROR(IF(OR(AND(D210="",C210=""),AND(D210=0,C210=0)),"",
IF(OR(D210="",D210=0),1,
IF(OR(D210&lt;&gt;"",D210&lt;&gt;0),(C210-D210)/ABS(D210)))),-1)</f>
        <v>-0.13749664969177169</v>
      </c>
      <c r="F210" s="372">
        <f>0.4469*100</f>
        <v>44.690000000000005</v>
      </c>
      <c r="G210" s="324">
        <v>35.94</v>
      </c>
      <c r="H210" s="324">
        <v>34.9</v>
      </c>
      <c r="I210" s="324">
        <v>42.8</v>
      </c>
    </row>
    <row r="211" spans="1:9" ht="14.25" x14ac:dyDescent="0.2">
      <c r="A211" s="247" t="s">
        <v>173</v>
      </c>
      <c r="B211" s="286">
        <v>0.30640000000000001</v>
      </c>
      <c r="C211" s="286">
        <v>0.30640000000000001</v>
      </c>
      <c r="D211" s="286">
        <v>0.3498</v>
      </c>
      <c r="E211" s="286">
        <f>IFERROR(IF(OR(AND(D211="",C211=""),AND(D211=0,C211=0)),"",
IF(OR(D211="",D211=0),1,
IF(OR(D211&lt;&gt;"",D211&lt;&gt;0),(C211-D211)/ABS(D211)))),-1)</f>
        <v>-0.1240708976558033</v>
      </c>
      <c r="F211" s="372">
        <f>0.4196*100</f>
        <v>41.959999999999994</v>
      </c>
      <c r="G211" s="324">
        <v>33.01</v>
      </c>
      <c r="H211" s="324">
        <v>32.6</v>
      </c>
      <c r="I211" s="324">
        <v>39.9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667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Jan 2019</v>
      </c>
      <c r="C219" s="282" t="str">
        <f>TEXT($H$3,"YYYY")</f>
        <v>2019</v>
      </c>
      <c r="D219" s="282">
        <f>TEXT($H$3,"YYYY")-1</f>
        <v>2018</v>
      </c>
      <c r="E219" s="284" t="s">
        <v>6</v>
      </c>
      <c r="F219" s="284">
        <f>TEXT($H$3,"YYYY")-1</f>
        <v>2018</v>
      </c>
      <c r="G219" s="284">
        <f>TEXT($H$3,"YYYY")-2</f>
        <v>2017</v>
      </c>
      <c r="H219" s="284">
        <f>TEXT($H$3,"YYYY")-3</f>
        <v>2016</v>
      </c>
      <c r="I219" s="284">
        <f>TEXT($H$3,"YYYY")-4</f>
        <v>2015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325</v>
      </c>
      <c r="C221" s="249">
        <f>SUMIF(Data!$BT$9:$BT$14,"&lt;&gt;AltX",Data!BU9:BU14)</f>
        <v>325</v>
      </c>
      <c r="D221" s="249">
        <f>SUMIF(Data!$BT$17:$BT$23,"&lt;&gt;AltX",Data!$BU$17:$BU$24)</f>
        <v>324</v>
      </c>
      <c r="E221" s="286">
        <f>IFERROR(IF(OR(AND(D221="",C221=""),AND(D221=0,C221=0)),"",
IF(OR(D221="",D221=0),1,
IF(OR(D221&lt;&gt;"",D221&lt;&gt;0),(C221-D221)/ABS(D221)))),-1)</f>
        <v>3.0864197530864196E-3</v>
      </c>
      <c r="F221" s="366">
        <v>326</v>
      </c>
      <c r="G221" s="249">
        <v>324</v>
      </c>
      <c r="H221" s="249">
        <v>328</v>
      </c>
      <c r="I221" s="249">
        <v>331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0</v>
      </c>
      <c r="D222" s="249">
        <f>SUMIF(Data!$BT$17:$BT$23,"&lt;&gt;AltX",Data!$BV$17:$BV$23)</f>
        <v>0</v>
      </c>
      <c r="E222" s="286" t="str">
        <f t="shared" ref="E222:E223" si="17">IFERROR(IF(OR(AND(D222="",C222=""),AND(D222=0,C222=0)),"",
IF(OR(D222="",D222=0),1,
IF(OR(D222&lt;&gt;"",D222&lt;&gt;0),(C222-D222)/ABS(D222)))),-1)</f>
        <v/>
      </c>
      <c r="F222" s="366">
        <v>11</v>
      </c>
      <c r="G222" s="249">
        <v>13</v>
      </c>
      <c r="H222" s="249">
        <v>11</v>
      </c>
      <c r="I222" s="249">
        <v>15</v>
      </c>
    </row>
    <row r="223" spans="1:9" ht="14.25" x14ac:dyDescent="0.2">
      <c r="A223" s="248" t="s">
        <v>31</v>
      </c>
      <c r="B223" s="249">
        <f ca="1">SUMIF(Data!$BT$1:$BT$7,"&lt;&gt;AltX",Data!$BW$1:$BW$6)</f>
        <v>1</v>
      </c>
      <c r="C223" s="249">
        <f>SUMIF(Data!$BT$9:$BT$14,"&lt;&gt;AltX",Data!BW9:BW14)</f>
        <v>1</v>
      </c>
      <c r="D223" s="249">
        <f>SUMIF(Data!$BT$17:$BT$23,"&lt;&gt;AltX",Data!$BW$17:$BW$23)</f>
        <v>0</v>
      </c>
      <c r="E223" s="286">
        <f t="shared" si="17"/>
        <v>1</v>
      </c>
      <c r="F223" s="366">
        <v>9</v>
      </c>
      <c r="G223" s="249">
        <v>21</v>
      </c>
      <c r="H223" s="249">
        <v>17</v>
      </c>
      <c r="I223" s="249">
        <v>18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46</v>
      </c>
      <c r="C226" s="249">
        <f>SUMIF(Data!$BT$9:$BT$14,"AltX",Data!BU9:BU14)</f>
        <v>46</v>
      </c>
      <c r="D226" s="249">
        <f>SUMIF(Data!$BT$17:$BT$23,"AltX",Data!$BU$17:$BU$24)</f>
        <v>52</v>
      </c>
      <c r="E226" s="286">
        <f t="shared" ref="E226:E227" si="18">IFERROR(IF(OR(AND(D226="",C226=""),AND(D226=0,C226=0)),"",
IF(OR(D226="",D226=0),1,
IF(OR(D226&lt;&gt;"",D226&lt;&gt;0),(C226-D226)/ABS(D226)))),-1)</f>
        <v>-0.11538461538461539</v>
      </c>
      <c r="F226" s="366">
        <v>46</v>
      </c>
      <c r="G226" s="249">
        <v>53</v>
      </c>
      <c r="H226" s="249">
        <v>60</v>
      </c>
      <c r="I226" s="249">
        <v>64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0</v>
      </c>
      <c r="E227" s="286" t="str">
        <f t="shared" si="18"/>
        <v/>
      </c>
      <c r="F227" s="366">
        <v>1</v>
      </c>
      <c r="G227" s="249">
        <v>8</v>
      </c>
      <c r="H227" s="249">
        <v>7</v>
      </c>
      <c r="I227" s="249">
        <v>8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0</v>
      </c>
      <c r="D228" s="249">
        <f>SUMIF(Data!$BT$17:$BT$23,"AltX",Data!$BW$17:$BW$23)</f>
        <v>1</v>
      </c>
      <c r="E228" s="286" t="str">
        <f t="shared" ref="E228" ca="1" si="19">IFERROR(IF(OR(AND(C228="",B228=""),AND(C228=0,B228=0)),"",
IF(OR(C228="",C228=0),1,
IF(OR(C228&lt;&gt;"",C228&lt;&gt;0),(B228-C228)/ABS(C228)))),-1)</f>
        <v/>
      </c>
      <c r="F228" s="366">
        <v>8</v>
      </c>
      <c r="G228" s="249">
        <v>11</v>
      </c>
      <c r="H228" s="249">
        <v>8</v>
      </c>
      <c r="I228" s="249">
        <v>1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0</v>
      </c>
      <c r="C231" s="249">
        <f t="shared" si="20"/>
        <v>0</v>
      </c>
      <c r="D231" s="249">
        <f t="shared" si="20"/>
        <v>0</v>
      </c>
      <c r="E231" s="286" t="str">
        <f t="shared" ref="E231:E237" si="21">IFERROR(IF(OR(AND(D231="",C231=""),AND(D231=0,C231=0)),"",
IF(OR(D231="",D231=0),1,
IF(OR(D231&lt;&gt;"",D231&lt;&gt;0),(C231-D231)/ABS(D231)))),-1)</f>
        <v/>
      </c>
      <c r="F231" s="366">
        <v>12</v>
      </c>
      <c r="G231" s="249">
        <v>21</v>
      </c>
      <c r="H231" s="249">
        <v>18</v>
      </c>
      <c r="I231" s="249">
        <v>23</v>
      </c>
    </row>
    <row r="232" spans="1:9" ht="14.25" x14ac:dyDescent="0.2">
      <c r="A232" s="248" t="s">
        <v>31</v>
      </c>
      <c r="B232" s="249">
        <f t="shared" ca="1" si="20"/>
        <v>1</v>
      </c>
      <c r="C232" s="249">
        <f t="shared" si="20"/>
        <v>1</v>
      </c>
      <c r="D232" s="249">
        <f t="shared" si="20"/>
        <v>1</v>
      </c>
      <c r="E232" s="286">
        <f>IFERROR(IF(OR(AND(D232="",C232=""),AND(D232=0,C232=0)),"",
IF(OR(D232="",D232=0),1,
IF(OR(D232&lt;&gt;"",D232&lt;&gt;0),(C232-D232)/ABS(D232)))),-1)</f>
        <v>0</v>
      </c>
      <c r="F232" s="366">
        <v>17</v>
      </c>
      <c r="G232" s="249">
        <v>32</v>
      </c>
      <c r="H232" s="249">
        <v>25</v>
      </c>
      <c r="I232" s="249">
        <v>19</v>
      </c>
    </row>
    <row r="233" spans="1:9" ht="14.25" x14ac:dyDescent="0.2">
      <c r="A233" s="248" t="s">
        <v>33</v>
      </c>
      <c r="B233" s="249">
        <f>SUM(Data!$CB$2:$CB$6)</f>
        <v>74</v>
      </c>
      <c r="C233" s="249">
        <f>SUM(Data!$CB$10:$CB$14)</f>
        <v>74</v>
      </c>
      <c r="D233" s="249">
        <f>SUM(Data!CB18:CB22)</f>
        <v>74</v>
      </c>
      <c r="E233" s="286">
        <f t="shared" si="21"/>
        <v>0</v>
      </c>
      <c r="F233" s="366">
        <v>74</v>
      </c>
      <c r="G233" s="249">
        <v>75</v>
      </c>
      <c r="H233" s="249">
        <v>76</v>
      </c>
      <c r="I233" s="249">
        <v>71</v>
      </c>
    </row>
    <row r="234" spans="1:9" ht="14.25" x14ac:dyDescent="0.2">
      <c r="A234" s="248" t="s">
        <v>34</v>
      </c>
      <c r="B234" s="249">
        <f>SUM(Data!$CA$2:$CA$6)</f>
        <v>297</v>
      </c>
      <c r="C234" s="249">
        <f>SUM(Data!$CA$10:$CA$14)</f>
        <v>297</v>
      </c>
      <c r="D234" s="249">
        <f>SUM(Data!CA18:CA22)</f>
        <v>302</v>
      </c>
      <c r="E234" s="286">
        <f t="shared" si="21"/>
        <v>-1.6556291390728478E-2</v>
      </c>
      <c r="F234" s="366">
        <v>298</v>
      </c>
      <c r="G234" s="249">
        <v>302</v>
      </c>
      <c r="H234" s="249">
        <v>312</v>
      </c>
      <c r="I234" s="249">
        <v>324</v>
      </c>
    </row>
    <row r="235" spans="1:9" ht="15" x14ac:dyDescent="0.25">
      <c r="A235" s="288" t="s">
        <v>35</v>
      </c>
      <c r="B235" s="250">
        <f ca="1">B221+B226</f>
        <v>371</v>
      </c>
      <c r="C235" s="250">
        <f>C221+C226</f>
        <v>371</v>
      </c>
      <c r="D235" s="250">
        <f>D221+D226</f>
        <v>376</v>
      </c>
      <c r="E235" s="326">
        <f t="shared" si="21"/>
        <v>-1.3297872340425532E-2</v>
      </c>
      <c r="F235" s="367">
        <v>372</v>
      </c>
      <c r="G235" s="250">
        <v>377</v>
      </c>
      <c r="H235" s="250">
        <v>388</v>
      </c>
      <c r="I235" s="250">
        <v>395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908</v>
      </c>
      <c r="C237" s="250">
        <f>Data!CD2</f>
        <v>908</v>
      </c>
      <c r="D237" s="250">
        <f>Data!CD5</f>
        <v>819</v>
      </c>
      <c r="E237" s="326">
        <f t="shared" si="21"/>
        <v>0.10866910866910867</v>
      </c>
      <c r="F237" s="367">
        <v>822</v>
      </c>
      <c r="G237" s="250">
        <v>812</v>
      </c>
      <c r="H237" s="250">
        <v>816</v>
      </c>
      <c r="I237" s="250">
        <v>858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12964.438110321989</v>
      </c>
      <c r="C239" s="327"/>
      <c r="D239" s="327">
        <f>Data!CE5/1000000000</f>
        <v>15444.225241882681</v>
      </c>
      <c r="E239" s="326">
        <f>IFERROR(IF(OR(AND(D239="",B239=""),AND(D239=0,B239=0)),"",
IF(OR(D239="",D239=0),1,
IF(OR(D239&lt;&gt;"",D239&lt;&gt;0),(B239-D239)/ABS(D239)))),-1)</f>
        <v>-0.16056403560055829</v>
      </c>
      <c r="F239" s="373">
        <v>12682.018644423199</v>
      </c>
      <c r="G239" s="327">
        <v>15461.4</v>
      </c>
      <c r="H239" s="327">
        <v>13580.6</v>
      </c>
      <c r="I239" s="327">
        <v>11727.6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Jan 2019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78"/>
      <c r="F263" s="378"/>
      <c r="G263" s="378"/>
      <c r="H263" s="378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81" t="s">
        <v>203</v>
      </c>
      <c r="H264" s="381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81" t="s">
        <v>40</v>
      </c>
      <c r="F265" s="387" t="str">
        <f>"Index Close   "&amp;TEXT($H$3,"MMM")&amp;" "&amp;TEXT($H$3,"YYYY")</f>
        <v>Index Close   Jan 2019</v>
      </c>
      <c r="G265" s="381"/>
      <c r="H265" s="381"/>
      <c r="I265" s="389" t="s">
        <v>41</v>
      </c>
    </row>
    <row r="266" spans="1:13" ht="15.75" thickBot="1" x14ac:dyDescent="0.3">
      <c r="A266" s="330"/>
      <c r="B266" s="331"/>
      <c r="C266" s="331"/>
      <c r="D266" s="197"/>
      <c r="E266" s="382"/>
      <c r="F266" s="388"/>
      <c r="G266" s="382"/>
      <c r="H266" s="382"/>
      <c r="I266" s="390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54156.749000260003</v>
      </c>
      <c r="G268" s="286">
        <f>IF(IFERROR(VLOOKUP(E268,Data!$O$23:$P$196,2,FALSE),0)=0,0,(F268-IFERROR(VLOOKUP(E268,Data!$O$23:$P$196,2,FALSE),0))/ABS(IFERROR(VLOOKUP(E268,Data!$O$23:$P$196,2,FALSE),0)))</f>
        <v>2.6924114576993147E-2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71195.933678419999</v>
      </c>
      <c r="G269" s="286">
        <f>IF(IFERROR(VLOOKUP(E269,Data!$O$23:$P$196,2,FALSE),0)=0,0,(F269-IFERROR(VLOOKUP(E269,Data!$O$23:$P$196,2,FALSE),0))/ABS(IFERROR(VLOOKUP(E269,Data!$O$23:$P$196,2,FALSE),0)))</f>
        <v>1.92993444481711E-2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50792.08527738</v>
      </c>
      <c r="G270" s="334">
        <f>IF(IFERROR(VLOOKUP(E270,Data!$O$23:$P$196,2,FALSE),0)=0,0,(F270-IFERROR(VLOOKUP(E270,Data!$O$23:$P$196,2,FALSE),0))/ABS(IFERROR(VLOOKUP(E270,Data!$O$23:$P$196,2,FALSE),0)))</f>
        <v>1.7162444812779166E-2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6615.5290075499997</v>
      </c>
      <c r="G271" s="286">
        <f>IF(IFERROR(VLOOKUP(E271,Data!$O$23:$P$196,2,FALSE),0)=0,0,(F271-IFERROR(VLOOKUP(E271,Data!$O$23:$P$196,2,FALSE),0))/ABS(IFERROR(VLOOKUP(E271,Data!$O$23:$P$196,2,FALSE),0)))</f>
        <v>-1.14389391873703E-2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27178.578703169998</v>
      </c>
      <c r="G272" s="286">
        <f>IF(IFERROR(VLOOKUP(E272,Data!$O$23:$P$196,2,FALSE),0)=0,0,(F272-IFERROR(VLOOKUP(E272,Data!$O$23:$P$196,2,FALSE),0))/ABS(IFERROR(VLOOKUP(E272,Data!$O$23:$P$196,2,FALSE),0)))</f>
        <v>2.4521703924560639E-2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11722.37298301</v>
      </c>
      <c r="G273" s="286">
        <f>IF(IFERROR(VLOOKUP(E273,Data!$O$23:$P$196,2,FALSE),0)=0,0,(F273-IFERROR(VLOOKUP(E273,Data!$O$23:$P$196,2,FALSE),0))/ABS(IFERROR(VLOOKUP(E273,Data!$O$23:$P$196,2,FALSE),0)))</f>
        <v>2.9511436994541992E-2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47955.984405989999</v>
      </c>
      <c r="G276" s="286">
        <f>IF(IFERROR(VLOOKUP(E276,Data!$O$23:$P$196,2,FALSE),0)=0,0,(F276-IFERROR(VLOOKUP(E276,Data!$O$23:$P$196,2,FALSE),0))/ABS(IFERROR(VLOOKUP(E276,Data!$O$23:$P$196,2,FALSE),0)))</f>
        <v>2.6310412256756788E-2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25001.44699574</v>
      </c>
      <c r="G277" s="286">
        <f>IF(IFERROR(VLOOKUP(E277,Data!$O$23:$P$196,2,FALSE),0)=0,0,(F277-IFERROR(VLOOKUP(E277,Data!$O$23:$P$196,2,FALSE),0))/ABS(IFERROR(VLOOKUP(E277,Data!$O$23:$P$196,2,FALSE),0)))</f>
        <v>2.2616592896793429E-2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10513.00423239</v>
      </c>
      <c r="G278" s="286">
        <f>IF(IFERROR(VLOOKUP(E278,Data!$O$23:$P$196,2,FALSE),0)=0,0,(F278-IFERROR(VLOOKUP(E278,Data!$O$23:$P$196,2,FALSE),0))/ABS(IFERROR(VLOOKUP(E278,Data!$O$23:$P$196,2,FALSE),0)))</f>
        <v>2.8767434986137288E-2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42155.083364190003</v>
      </c>
      <c r="G279" s="286">
        <f>IF(IFERROR(VLOOKUP(E279,Data!$O$23:$P$196,2,FALSE),0)=0,0,(F279-IFERROR(VLOOKUP(E279,Data!$O$23:$P$196,2,FALSE),0))/ABS(IFERROR(VLOOKUP(E279,Data!$O$23:$P$196,2,FALSE),0)))</f>
        <v>2.7019859774330534E-2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1460.22980089</v>
      </c>
      <c r="G280" s="286">
        <f>IF(IFERROR(VLOOKUP(E280,Data!$O$23:$P$196,2,FALSE),0)=0,0,(F280-IFERROR(VLOOKUP(E280,Data!$O$23:$P$196,2,FALSE),0))/ABS(IFERROR(VLOOKUP(E280,Data!$O$23:$P$196,2,FALSE),0)))</f>
        <v>6.1405068133440155E-2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64225.417497139999</v>
      </c>
      <c r="G281" s="286">
        <f>IF(IFERROR(VLOOKUP(E281,Data!$O$23:$P$196,2,FALSE),0)=0,0,(F281-IFERROR(VLOOKUP(E281,Data!$O$23:$P$196,2,FALSE),0))/ABS(IFERROR(VLOOKUP(E281,Data!$O$23:$P$196,2,FALSE),0)))</f>
        <v>8.4960546573085455E-3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17486.213407830001</v>
      </c>
      <c r="G282" s="286">
        <f>IF(IFERROR(VLOOKUP(E282,Data!$O$23:$P$196,2,FALSE),0)=0,0,(F282-IFERROR(VLOOKUP(E282,Data!$O$23:$P$196,2,FALSE),0))/ABS(IFERROR(VLOOKUP(E282,Data!$O$23:$P$196,2,FALSE),0)))</f>
        <v>6.7536166576160045E-2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71875.082250120002</v>
      </c>
      <c r="G283" s="286">
        <f>IF(IFERROR(VLOOKUP(E283,Data!$O$23:$P$196,2,FALSE),0)=0,0,(F283-IFERROR(VLOOKUP(E283,Data!$O$23:$P$196,2,FALSE),0))/ABS(IFERROR(VLOOKUP(E283,Data!$O$23:$P$196,2,FALSE),0)))</f>
        <v>3.0462551842387827E-2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9633.3432832899998</v>
      </c>
      <c r="G286" s="334">
        <f>IF(IFERROR(VLOOKUP(E286,Data!$O$23:$P$196,2,FALSE),0)=0,0,(F286-IFERROR(VLOOKUP(E286,Data!$O$23:$P$196,2,FALSE),0))/ABS(IFERROR(VLOOKUP(E286,Data!$O$23:$P$196,2,FALSE),0)))</f>
        <v>-9.6500000000154726E-2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29695.97384223</v>
      </c>
      <c r="G287" s="286">
        <f>IF(IFERROR(VLOOKUP(E287,Data!$O$23:$P$196,2,FALSE),0)=0,0,(F287-IFERROR(VLOOKUP(E287,Data!$O$23:$P$196,2,FALSE),0))/ABS(IFERROR(VLOOKUP(E287,Data!$O$23:$P$196,2,FALSE),0)))</f>
        <v>3.2039959163381468E-2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46008.093781039999</v>
      </c>
      <c r="G288" s="286">
        <f>IF(IFERROR(VLOOKUP(E288,Data!$O$23:$P$196,2,FALSE),0)=0,0,(F288-IFERROR(VLOOKUP(E288,Data!$O$23:$P$196,2,FALSE),0))/ABS(IFERROR(VLOOKUP(E288,Data!$O$23:$P$196,2,FALSE),0)))</f>
        <v>3.5002004540845816E-2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49388.410494639997</v>
      </c>
      <c r="G289" s="286">
        <f>IF(IFERROR(VLOOKUP(E289,Data!$O$23:$P$196,2,FALSE),0)=0,0,(F289-IFERROR(VLOOKUP(E289,Data!$O$23:$P$196,2,FALSE),0))/ABS(IFERROR(VLOOKUP(E289,Data!$O$23:$P$196,2,FALSE),0)))</f>
        <v>-2.2925981744098482E-2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22381.71801963</v>
      </c>
      <c r="G290" s="286">
        <f>IF(IFERROR(VLOOKUP(E290,Data!$O$23:$P$196,2,FALSE),0)=0,0,(F290-IFERROR(VLOOKUP(E290,Data!$O$23:$P$196,2,FALSE),0))/ABS(IFERROR(VLOOKUP(E290,Data!$O$23:$P$196,2,FALSE),0)))</f>
        <v>2.1218913015147521E-2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43758.976610550002</v>
      </c>
      <c r="G291" s="286">
        <f>IF(IFERROR(VLOOKUP(E291,Data!$O$23:$P$196,2,FALSE),0)=0,0,(F291-IFERROR(VLOOKUP(E291,Data!$O$23:$P$196,2,FALSE),0))/ABS(IFERROR(VLOOKUP(E291,Data!$O$23:$P$196,2,FALSE),0)))</f>
        <v>5.9546558068759609E-2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28764.724599050001</v>
      </c>
      <c r="G292" s="286">
        <f>IF(IFERROR(VLOOKUP(E292,Data!$O$23:$P$196,2,FALSE),0)=0,0,(F292-IFERROR(VLOOKUP(E292,Data!$O$23:$P$196,2,FALSE),0))/ABS(IFERROR(VLOOKUP(E292,Data!$O$23:$P$196,2,FALSE),0)))</f>
        <v>-2.1111315891591338E-2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5051.9478890299997</v>
      </c>
      <c r="G293" s="286">
        <f>IF(IFERROR(VLOOKUP(E293,Data!$O$23:$P$196,2,FALSE),0)=0,0,(F293-IFERROR(VLOOKUP(E293,Data!$O$23:$P$196,2,FALSE),0))/ABS(IFERROR(VLOOKUP(E293,Data!$O$23:$P$196,2,FALSE),0)))</f>
        <v>-3.8628459599462123E-2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4934.9872383399997</v>
      </c>
      <c r="G294" s="286">
        <f>IF(IFERROR(VLOOKUP(E294,Data!$O$23:$P$196,2,FALSE),0)=0,0,(F294-IFERROR(VLOOKUP(E294,Data!$O$23:$P$196,2,FALSE),0))/ABS(IFERROR(VLOOKUP(E294,Data!$O$23:$P$196,2,FALSE),0)))</f>
        <v>1.0155550182515327E-2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3432.4605688699999</v>
      </c>
      <c r="G298" s="286">
        <f>IF(IFERROR(VLOOKUP(E298,Data!$O$23:$P$196,2,FALSE),0)=0,0,(F298-IFERROR(VLOOKUP(E298,Data!$O$23:$P$196,2,FALSE),0))/ABS(IFERROR(VLOOKUP(E298,Data!$O$23:$P$196,2,FALSE),0)))</f>
        <v>1.6471167577939316E-2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712.61277385000005</v>
      </c>
      <c r="G299" s="286">
        <f>IF(IFERROR(VLOOKUP(E299,Data!$O$23:$P$196,2,FALSE),0)=0,0,(F299-IFERROR(VLOOKUP(E299,Data!$O$23:$P$196,2,FALSE),0))/ABS(IFERROR(VLOOKUP(E299,Data!$O$23:$P$196,2,FALSE),0)))</f>
        <v>8.5521046859776878E-2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522.01122669999995</v>
      </c>
      <c r="G300" s="286">
        <f>IF(IFERROR(VLOOKUP(E300,Data!$O$23:$P$196,2,FALSE),0)=0,0,(F300-IFERROR(VLOOKUP(E300,Data!$O$23:$P$196,2,FALSE),0))/ABS(IFERROR(VLOOKUP(E300,Data!$O$23:$P$196,2,FALSE),0)))</f>
        <v>9.1696691887606568E-2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409.79457731999997</v>
      </c>
      <c r="G301" s="286">
        <f>IF(IFERROR(VLOOKUP(E301,Data!$O$23:$P$196,2,FALSE),0)=0,0,(F301-IFERROR(VLOOKUP(E301,Data!$O$23:$P$196,2,FALSE),0))/ABS(IFERROR(VLOOKUP(E301,Data!$O$23:$P$196,2,FALSE),0)))</f>
        <v>8.052451148182474E-2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23701.172845649999</v>
      </c>
      <c r="G302" s="286">
        <f>IF(IFERROR(VLOOKUP(E302,Data!$O$23:$P$196,2,FALSE),0)=0,0,(F302-IFERROR(VLOOKUP(E302,Data!$O$23:$P$196,2,FALSE),0))/ABS(IFERROR(VLOOKUP(E302,Data!$O$23:$P$196,2,FALSE),0)))</f>
        <v>3.1648311678454888E-2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363.14784065999999</v>
      </c>
      <c r="G303" s="286">
        <f>IF(IFERROR(VLOOKUP(E303,Data!$O$23:$P$196,2,FALSE),0)=0,0,(F303-IFERROR(VLOOKUP(E303,Data!$O$23:$P$196,2,FALSE),0))/ABS(IFERROR(VLOOKUP(E303,Data!$O$23:$P$196,2,FALSE),0)))</f>
        <v>2.1806264773582117E-2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624.74561068000003</v>
      </c>
      <c r="G304" s="286">
        <f>IF(IFERROR(VLOOKUP(E304,Data!$O$23:$P$196,2,FALSE),0)=0,0,(F304-IFERROR(VLOOKUP(E304,Data!$O$23:$P$196,2,FALSE),0))/ABS(IFERROR(VLOOKUP(E304,Data!$O$23:$P$196,2,FALSE),0)))</f>
        <v>3.2468740843959287E-2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24.901708070000002</v>
      </c>
      <c r="G307" s="286">
        <f>IF(IFERROR(VLOOKUP(E307,Data!$O$23:$P$196,2,FALSE),0)=0,0,(F307-IFERROR(VLOOKUP(E307,Data!$O$23:$P$196,2,FALSE),0))/ABS(IFERROR(VLOOKUP(E307,Data!$O$23:$P$196,2,FALSE),0)))</f>
        <v>0.1242530017716303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10401.48761448</v>
      </c>
      <c r="G308" s="286">
        <f>IF(IFERROR(VLOOKUP(E308,Data!$O$23:$P$196,2,FALSE),0)=0,0,(F308-IFERROR(VLOOKUP(E308,Data!$O$23:$P$196,2,FALSE),0))/ABS(IFERROR(VLOOKUP(E308,Data!$O$23:$P$196,2,FALSE),0)))</f>
        <v>3.5976576966022557E-2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903.52139069999998</v>
      </c>
      <c r="G313" s="286">
        <f>IF(IFERROR(VLOOKUP(E313,Data!$O$23:$P$196,2,FALSE),0)=0,0,(F313-IFERROR(VLOOKUP(E313,Data!$O$23:$P$196,2,FALSE),0))/ABS(IFERROR(VLOOKUP(E313,Data!$O$23:$P$196,2,FALSE),0)))</f>
        <v>-0.12115233718029998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Jan 2019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78"/>
      <c r="F348" s="378"/>
      <c r="G348" s="378"/>
      <c r="H348" s="378"/>
      <c r="I348" s="116"/>
    </row>
    <row r="349" spans="1:9" ht="15" x14ac:dyDescent="0.25">
      <c r="A349" s="281"/>
      <c r="B349" s="337"/>
      <c r="C349" s="281"/>
      <c r="D349" s="397" t="str">
        <f>TEXT(DATE(2000,TEXT(H3,"M")-1,1),"mmm")&amp; " "&amp; TEXT(H3,"YYYY")-1</f>
        <v>Dec 2018</v>
      </c>
      <c r="E349" s="397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98"/>
      <c r="E350" s="398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Jan 2019</v>
      </c>
      <c r="D351" s="399"/>
      <c r="E351" s="399"/>
      <c r="F351" s="284" t="s">
        <v>1</v>
      </c>
      <c r="G351" s="330"/>
      <c r="H351" s="338" t="str">
        <f>TEXT($H$3,"MMM")&amp;" "&amp;TEXT($H$3,"YYYY")-1</f>
        <v>Jan 2018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91"/>
      <c r="E353" s="391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261519</v>
      </c>
      <c r="D354" s="391">
        <f>SUMIFS(Data!$V$33:$V$48,Data!$S$33:$S$48,MarketProfile!A354,Data!$X$33:$X$48,"1")</f>
        <v>276558</v>
      </c>
      <c r="E354" s="391"/>
      <c r="F354" s="286">
        <f>IFERROR(IF(OR(AND(D354="",C354=""),AND(D354=0,C354=0)),"",
IF(OR(D354="",D354=0),1,
IF(OR(D354&lt;&gt;"",D354&lt;&gt;0),(C354-D354)/ABS(D354)))),-1)</f>
        <v>-5.4379189898683095E-2</v>
      </c>
      <c r="G354" s="391">
        <f>SUMIFS(Data!$V$63:$V$78,Data!$S$63:$S$78,MarketProfile!A354,Data!$X$63:$X$78,"1")</f>
        <v>241920</v>
      </c>
      <c r="H354" s="391"/>
      <c r="I354" s="286">
        <f t="shared" ref="I354:I367" si="22">IFERROR(IF(OR(AND(G354="",C354=""),AND(G354=0,C354=0)),"",
IF(OR(G354="",G354=0),1,
IF(OR(G354&lt;&gt;"",G354&lt;&gt;0),(C354-G354)/ABS(G354)))),-1)</f>
        <v>8.1014384920634924E-2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4431</v>
      </c>
      <c r="D355" s="391">
        <f>SUMIFS(Data!$V$33:$V$48,Data!$S$33:$S$48,MarketProfile!A355,Data!$X$33:$X$48,"1")</f>
        <v>6209</v>
      </c>
      <c r="E355" s="391"/>
      <c r="F355" s="286">
        <f t="shared" ref="F355:F361" si="23">IFERROR(IF(OR(AND(D355="",C355=""),AND(D355=0,C355=0)),"",
IF(OR(D355="",D355=0),1,
IF(OR(D355&lt;&gt;"",D355&lt;&gt;0),(C355-D355)/ABS(D355)))),-1)</f>
        <v>-0.28635851183765504</v>
      </c>
      <c r="G355" s="391">
        <f>SUMIFS(Data!$V$63:$V$78,Data!$S$63:$S$78,MarketProfile!A355,Data!$X$63:$X$78,"1")</f>
        <v>4014</v>
      </c>
      <c r="H355" s="391"/>
      <c r="I355" s="286">
        <f t="shared" si="22"/>
        <v>0.10388639760837071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4312</v>
      </c>
      <c r="D356" s="391">
        <f>SUMIFS(Data!$V$33:$V$48,Data!$S$33:$S$48,MarketProfile!A356,Data!$X$33:$X$48,"1")</f>
        <v>6006</v>
      </c>
      <c r="E356" s="391"/>
      <c r="F356" s="286">
        <f t="shared" si="23"/>
        <v>-0.28205128205128205</v>
      </c>
      <c r="G356" s="391">
        <f>SUMIFS(Data!$V$63:$V$78,Data!$S$63:$S$78,MarketProfile!A356,Data!$X$63:$X$78,"1")</f>
        <v>3762</v>
      </c>
      <c r="H356" s="391"/>
      <c r="I356" s="286">
        <f t="shared" si="22"/>
        <v>0.14619883040935672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150</v>
      </c>
      <c r="D357" s="391">
        <f>SUMIFS(Data!$V$33:$V$48,Data!$S$33:$S$48,MarketProfile!A357,Data!$X$33:$X$48,"1")</f>
        <v>82</v>
      </c>
      <c r="E357" s="391"/>
      <c r="F357" s="286">
        <f t="shared" si="23"/>
        <v>0.82926829268292679</v>
      </c>
      <c r="G357" s="391">
        <f>SUMIFS(Data!$V$63:$V$78,Data!$S$63:$S$78,MarketProfile!A357,Data!$X$63:$X$78,"1")</f>
        <v>430</v>
      </c>
      <c r="H357" s="391"/>
      <c r="I357" s="286">
        <f t="shared" si="22"/>
        <v>-0.65116279069767447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60</v>
      </c>
      <c r="D358" s="391">
        <f>SUMIFS(Data!$V$33:$V$48,Data!$S$33:$S$48,MarketProfile!A358,Data!$X$33:$X$48,"1")</f>
        <v>241</v>
      </c>
      <c r="E358" s="391"/>
      <c r="F358" s="286">
        <f t="shared" si="23"/>
        <v>-0.75103734439834025</v>
      </c>
      <c r="G358" s="391">
        <f>SUMIFS(Data!$V$63:$V$78,Data!$S$63:$S$78,MarketProfile!A358,Data!$X$63:$X$78,"1")</f>
        <v>79</v>
      </c>
      <c r="H358" s="391"/>
      <c r="I358" s="286">
        <f t="shared" si="22"/>
        <v>-0.24050632911392406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59</v>
      </c>
      <c r="D359" s="391">
        <f>SUMIFS(Data!$V$33:$V$48,Data!$S$33:$S$48,MarketProfile!A359,Data!$X$33:$X$48,"1")</f>
        <v>237</v>
      </c>
      <c r="E359" s="391"/>
      <c r="F359" s="286">
        <f t="shared" si="23"/>
        <v>-0.75105485232067515</v>
      </c>
      <c r="G359" s="391">
        <f>SUMIFS(Data!$V$63:$V$78,Data!$S$63:$S$78,MarketProfile!A359,Data!$X$63:$X$78,"1")</f>
        <v>77</v>
      </c>
      <c r="H359" s="391"/>
      <c r="I359" s="286">
        <f t="shared" si="22"/>
        <v>-0.23376623376623376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137</v>
      </c>
      <c r="D360" s="391">
        <f>SUMIFS(Data!$V$33:$V$48,Data!$S$33:$S$48,MarketProfile!A360,Data!$X$33:$X$48,"1")</f>
        <v>96</v>
      </c>
      <c r="E360" s="391"/>
      <c r="F360" s="286">
        <f t="shared" si="23"/>
        <v>0.42708333333333331</v>
      </c>
      <c r="G360" s="391">
        <f>SUMIFS(Data!$V$63:$V$78,Data!$S$63:$S$78,MarketProfile!A360,Data!$X$63:$X$78,"1")</f>
        <v>87</v>
      </c>
      <c r="H360" s="391"/>
      <c r="I360" s="286">
        <f t="shared" si="22"/>
        <v>0.57471264367816088</v>
      </c>
    </row>
    <row r="361" spans="1:9" ht="15" x14ac:dyDescent="0.25">
      <c r="A361" s="288" t="s">
        <v>133</v>
      </c>
      <c r="B361" s="250"/>
      <c r="C361" s="250">
        <f>SUM(C354:C360)</f>
        <v>270668</v>
      </c>
      <c r="D361" s="383">
        <f>SUM(D354:E360)</f>
        <v>289429</v>
      </c>
      <c r="E361" s="383"/>
      <c r="F361" s="326">
        <f t="shared" si="23"/>
        <v>-6.4820733236821471E-2</v>
      </c>
      <c r="G361" s="383">
        <f>SUM(G354:H360)</f>
        <v>250369</v>
      </c>
      <c r="H361" s="383">
        <v>228310</v>
      </c>
      <c r="I361" s="326">
        <f t="shared" si="22"/>
        <v>8.1076331334949611E-2</v>
      </c>
    </row>
    <row r="362" spans="1:9" ht="14.25" x14ac:dyDescent="0.2">
      <c r="A362" s="248"/>
      <c r="B362" s="249"/>
      <c r="C362" s="249"/>
      <c r="D362" s="391"/>
      <c r="E362" s="391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91"/>
      <c r="E363" s="391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636</v>
      </c>
      <c r="D364" s="391">
        <f>SUMIFS(Data!$V$33:$V$48,Data!$S$33:$S$48,MarketProfile!A364,Data!$X$33:$X$48,"0")</f>
        <v>340</v>
      </c>
      <c r="E364" s="391"/>
      <c r="F364" s="286">
        <f t="shared" ref="F364:F368" si="24">IFERROR(IF(OR(AND(D364="",C364=""),AND(D364=0,C364=0)),"",
IF(OR(D364="",D364=0),1,
IF(OR(D364&lt;&gt;"",D364&lt;&gt;0),(C364-D364)/ABS(D364)))),-1)</f>
        <v>0.87058823529411766</v>
      </c>
      <c r="G364" s="391">
        <f>SUMIFS(Data!$V$63:$V$78,Data!$S$63:$S$78,MarketProfile!A364,Data!$X$63:$X$78,"0")</f>
        <v>286</v>
      </c>
      <c r="H364" s="391"/>
      <c r="I364" s="286">
        <f t="shared" si="22"/>
        <v>1.2237762237762237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644</v>
      </c>
      <c r="D365" s="391">
        <f>SUMIFS(Data!$V$33:$V$48,Data!$S$33:$S$48,MarketProfile!A365,Data!$X$33:$X$48,"0")</f>
        <v>157</v>
      </c>
      <c r="E365" s="391"/>
      <c r="F365" s="286">
        <f t="shared" si="24"/>
        <v>3.1019108280254777</v>
      </c>
      <c r="G365" s="391">
        <f>SUMIFS(Data!$V$63:$V$78,Data!$S$63:$S$78,MarketProfile!A365,Data!$X$63:$X$78,"0")</f>
        <v>422</v>
      </c>
      <c r="H365" s="391"/>
      <c r="I365" s="286">
        <f t="shared" si="22"/>
        <v>0.52606635071090047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23</v>
      </c>
      <c r="D366" s="391">
        <f>SUMIFS(Data!$V$33:$V$48,Data!$S$33:$S$48,MarketProfile!A366,Data!$X$33:$X$48,"0")</f>
        <v>135</v>
      </c>
      <c r="E366" s="391"/>
      <c r="F366" s="286">
        <f t="shared" si="24"/>
        <v>-0.82962962962962961</v>
      </c>
      <c r="G366" s="391">
        <f>SUMIFS(Data!$V$63:$V$78,Data!$S$63:$S$78,MarketProfile!A366,Data!$X$63:$X$78,"0")</f>
        <v>81</v>
      </c>
      <c r="H366" s="391"/>
      <c r="I366" s="286">
        <f t="shared" si="22"/>
        <v>-0.71604938271604934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91">
        <f>SUMIFS(Data!$V$33:$V$48,Data!$S$33:$S$48,MarketProfile!A367,Data!$X$33:$X$48,"0")</f>
        <v>0</v>
      </c>
      <c r="E367" s="391"/>
      <c r="F367" s="286" t="str">
        <f t="shared" si="24"/>
        <v/>
      </c>
      <c r="G367" s="391">
        <f>SUMIFS(Data!$V$63:$V$78,Data!$S$63:$S$78,MarketProfile!A367,Data!$X$63:$X$78,"0")</f>
        <v>0</v>
      </c>
      <c r="H367" s="391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1303</v>
      </c>
      <c r="D368" s="383">
        <f t="shared" ref="D368:E368" si="25">SUM(D364:D367)</f>
        <v>632</v>
      </c>
      <c r="E368" s="383">
        <f t="shared" si="25"/>
        <v>0</v>
      </c>
      <c r="F368" s="326">
        <f t="shared" si="24"/>
        <v>1.0617088607594938</v>
      </c>
      <c r="G368" s="383">
        <f>SUM(G364:H367)</f>
        <v>789</v>
      </c>
      <c r="H368" s="383">
        <v>1646</v>
      </c>
      <c r="I368" s="326">
        <f>IFERROR(IF(OR(AND(G368="",C368=""),AND(G368=0,C368=0)),"",
IF(OR(G368="",G368=0),1,
IF(OR(G368&lt;&gt;"",G368&lt;&gt;0),(C368-G368)/ABS(G368)))),-1)</f>
        <v>0.65145754119138155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859162</v>
      </c>
      <c r="D372" s="391">
        <f>SUMIFS(Data!$U$33:$U$48,Data!$S$33:$S$48,MarketProfile!A372,Data!$X$33:$X$48,"1")</f>
        <v>2377134</v>
      </c>
      <c r="E372" s="391"/>
      <c r="F372" s="286">
        <f t="shared" ref="F372:F379" si="26">IFERROR(IF(OR(AND(D372="",C372=""),AND(D372=0,C372=0)),"",
IF(OR(D372="",D372=0),1,
IF(OR(D372&lt;&gt;"",D372&lt;&gt;0),(C372-D372)/ABS(D372)))),-1)</f>
        <v>-0.63857233121902257</v>
      </c>
      <c r="G372" s="391">
        <f>SUMIFS(Data!$U$63:$U$78,Data!$S$63:$S$78,MarketProfile!A372,Data!$X$63:$X$78,"1")</f>
        <v>970105</v>
      </c>
      <c r="H372" s="391"/>
      <c r="I372" s="286">
        <f t="shared" ref="I372:I379" si="27">IFERROR(IF(OR(AND(G372="",C372=""),AND(G372=0,C372=0)),"",
IF(OR(G372="",G372=0),1,
IF(OR(G372&lt;&gt;"",G372&lt;&gt;0),(C372-G372)/ABS(G372)))),-1)</f>
        <v>-0.11436184742888657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342805</v>
      </c>
      <c r="D373" s="391">
        <f>SUMIFS(Data!$U$33:$U$48,Data!$S$33:$S$48,MarketProfile!A373,Data!$X$33:$X$48,"1")</f>
        <v>1318432</v>
      </c>
      <c r="E373" s="391"/>
      <c r="F373" s="286">
        <f t="shared" si="26"/>
        <v>-0.7399903825149875</v>
      </c>
      <c r="G373" s="391">
        <f>SUMIFS(Data!$U$63:$U$78,Data!$S$63:$S$78,MarketProfile!A373,Data!$X$63:$X$78,"1")</f>
        <v>614040</v>
      </c>
      <c r="H373" s="391"/>
      <c r="I373" s="286">
        <f t="shared" si="27"/>
        <v>-0.44172203765227019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251274</v>
      </c>
      <c r="D374" s="391">
        <f>SUMIFS(Data!$U$33:$U$48,Data!$S$33:$S$48,MarketProfile!A374,Data!$X$33:$X$48,"1")</f>
        <v>901175</v>
      </c>
      <c r="E374" s="391"/>
      <c r="F374" s="286">
        <f t="shared" si="26"/>
        <v>-0.72117069381640631</v>
      </c>
      <c r="G374" s="391">
        <f>SUMIFS(Data!$U$63:$U$78,Data!$S$63:$S$78,MarketProfile!A374,Data!$X$63:$X$78,"1")</f>
        <v>433292</v>
      </c>
      <c r="H374" s="391"/>
      <c r="I374" s="286">
        <f t="shared" si="27"/>
        <v>-0.42008160778412712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915154</v>
      </c>
      <c r="D375" s="391">
        <f>SUMIFS(Data!$U$33:$U$48,Data!$S$33:$S$48,MarketProfile!A375,Data!$X$33:$X$48,"1")</f>
        <v>846883</v>
      </c>
      <c r="E375" s="391"/>
      <c r="F375" s="286">
        <f t="shared" si="26"/>
        <v>8.0614441428154771E-2</v>
      </c>
      <c r="G375" s="391">
        <f>SUMIFS(Data!$U$63:$U$78,Data!$S$63:$S$78,MarketProfile!A375,Data!$X$63:$X$78,"1")</f>
        <v>1427057</v>
      </c>
      <c r="H375" s="391"/>
      <c r="I375" s="286">
        <f t="shared" si="27"/>
        <v>-0.35871237098448067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101142</v>
      </c>
      <c r="D376" s="391">
        <f>SUMIFS(Data!$U$33:$U$48,Data!$S$33:$S$48,MarketProfile!A376,Data!$X$33:$X$48,"1")</f>
        <v>3624991</v>
      </c>
      <c r="E376" s="391"/>
      <c r="F376" s="286">
        <f t="shared" si="26"/>
        <v>-0.9720986893484701</v>
      </c>
      <c r="G376" s="391">
        <f>SUMIFS(Data!$U$63:$U$78,Data!$S$63:$S$78,MarketProfile!A376,Data!$X$63:$X$78,"1")</f>
        <v>244958</v>
      </c>
      <c r="H376" s="391"/>
      <c r="I376" s="286">
        <f t="shared" si="27"/>
        <v>-0.58710472815748005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95884</v>
      </c>
      <c r="D377" s="391">
        <f>SUMIFS(Data!$U$33:$U$48,Data!$S$33:$S$48,MarketProfile!A377,Data!$X$33:$X$48,"1")</f>
        <v>3470367</v>
      </c>
      <c r="E377" s="391"/>
      <c r="F377" s="286">
        <f t="shared" si="26"/>
        <v>-0.97237064552538677</v>
      </c>
      <c r="G377" s="391">
        <f>SUMIFS(Data!$U$63:$U$78,Data!$S$63:$S$78,MarketProfile!A377,Data!$X$63:$X$78,"1")</f>
        <v>233188</v>
      </c>
      <c r="H377" s="391"/>
      <c r="I377" s="286">
        <f t="shared" si="27"/>
        <v>-0.58881246033243562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121805</v>
      </c>
      <c r="D378" s="391">
        <f>SUMIFS(Data!$U$33:$U$48,Data!$S$33:$S$48,MarketProfile!A378,Data!$X$33:$X$48,"1")</f>
        <v>263126</v>
      </c>
      <c r="E378" s="391"/>
      <c r="F378" s="286">
        <f t="shared" si="26"/>
        <v>-0.53708489468923637</v>
      </c>
      <c r="G378" s="391">
        <f>SUMIFS(Data!$U$63:$U$78,Data!$S$63:$S$78,MarketProfile!A378,Data!$X$63:$X$78,"1")</f>
        <v>47271</v>
      </c>
      <c r="H378" s="391"/>
      <c r="I378" s="286">
        <f t="shared" si="27"/>
        <v>1.5767383808254531</v>
      </c>
    </row>
    <row r="379" spans="1:9" ht="15" x14ac:dyDescent="0.25">
      <c r="A379" s="288" t="s">
        <v>133</v>
      </c>
      <c r="B379" s="250"/>
      <c r="C379" s="250">
        <f>SUM(C372:C378)</f>
        <v>2687226</v>
      </c>
      <c r="D379" s="383">
        <f>SUM(D372:E378)</f>
        <v>12802108</v>
      </c>
      <c r="E379" s="383"/>
      <c r="F379" s="326">
        <f t="shared" si="26"/>
        <v>-0.79009503747351606</v>
      </c>
      <c r="G379" s="383">
        <f>SUM(G372:H378)</f>
        <v>3969911</v>
      </c>
      <c r="H379" s="383">
        <v>17193059</v>
      </c>
      <c r="I379" s="326">
        <f t="shared" si="27"/>
        <v>-0.32310170177618591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419216</v>
      </c>
      <c r="D382" s="391">
        <f>SUMIFS(Data!$U$33:$U$48,Data!$S$33:$S$48,MarketProfile!A382,Data!$X$33:$X$48,"0")</f>
        <v>229659</v>
      </c>
      <c r="E382" s="391"/>
      <c r="F382" s="286">
        <f t="shared" ref="F382:F386" si="28">IFERROR(IF(OR(AND(D382="",C382=""),AND(D382=0,C382=0)),"",
IF(OR(D382="",D382=0),1,
IF(OR(D382&lt;&gt;"",D382&lt;&gt;0),(C382-D382)/ABS(D382)))),-1)</f>
        <v>0.82538459193848268</v>
      </c>
      <c r="G382" s="391">
        <f>SUMIFS(Data!$U$63:$U$78,Data!$S$63:$S$78,MarketProfile!A382,Data!$X$63:$X$78,"0")</f>
        <v>379147</v>
      </c>
      <c r="H382" s="391"/>
      <c r="I382" s="286">
        <f t="shared" ref="I382:I386" si="29">IFERROR(IF(OR(AND(G382="",C382=""),AND(G382=0,C382=0)),"",
IF(OR(G382="",G382=0),1,
IF(OR(G382&lt;&gt;"",G382&lt;&gt;0),(C382-G382)/ABS(G382)))),-1)</f>
        <v>0.10568196504258243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409384</v>
      </c>
      <c r="D383" s="391">
        <f>SUMIFS(Data!$U$33:$U$48,Data!$S$33:$S$48,MarketProfile!A383,Data!$X$33:$X$48,"0")</f>
        <v>158438</v>
      </c>
      <c r="E383" s="391"/>
      <c r="F383" s="286">
        <f t="shared" si="28"/>
        <v>1.5838750804731188</v>
      </c>
      <c r="G383" s="391">
        <f>SUMIFS(Data!$U$63:$U$78,Data!$S$63:$S$78,MarketProfile!A383,Data!$X$63:$X$78,"0")</f>
        <v>1239426</v>
      </c>
      <c r="H383" s="391"/>
      <c r="I383" s="286">
        <f t="shared" si="29"/>
        <v>-0.66969871537308401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166009</v>
      </c>
      <c r="D384" s="391">
        <f>SUMIFS(Data!$U$33:$U$48,Data!$S$33:$S$48,MarketProfile!A384,Data!$X$33:$X$48,"0")</f>
        <v>62738</v>
      </c>
      <c r="E384" s="391"/>
      <c r="F384" s="286">
        <f t="shared" si="28"/>
        <v>1.6460677739169243</v>
      </c>
      <c r="G384" s="391">
        <f>SUMIFS(Data!$U$63:$U$78,Data!$S$63:$S$78,MarketProfile!A384,Data!$X$63:$X$78,"0")</f>
        <v>61367</v>
      </c>
      <c r="H384" s="391"/>
      <c r="I384" s="286">
        <f t="shared" si="29"/>
        <v>1.7051835677155474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91">
        <f>SUMIFS(Data!$U$33:$U$48,Data!$S$33:$S$48,MarketProfile!A385,Data!$X$33:$X$48,"0")</f>
        <v>0</v>
      </c>
      <c r="E385" s="391"/>
      <c r="F385" s="286" t="str">
        <f t="shared" si="28"/>
        <v/>
      </c>
      <c r="G385" s="391">
        <f>SUMIFS(Data!$U$63:$U$78,Data!$S$63:$S$78,MarketProfile!A385,Data!$X$63:$X$78,"0")</f>
        <v>0</v>
      </c>
      <c r="H385" s="391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994609</v>
      </c>
      <c r="D386" s="383">
        <f>SUM(D382:E385)</f>
        <v>450835</v>
      </c>
      <c r="E386" s="383">
        <f>SUM(E382:E385)</f>
        <v>0</v>
      </c>
      <c r="F386" s="326">
        <f t="shared" si="28"/>
        <v>1.2061485909479077</v>
      </c>
      <c r="G386" s="383">
        <f>SUM(G382:H385)</f>
        <v>1679940</v>
      </c>
      <c r="H386" s="383">
        <v>677531</v>
      </c>
      <c r="I386" s="326">
        <f t="shared" si="29"/>
        <v>-0.4079496886793576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279444423.81361592</v>
      </c>
      <c r="D390" s="391">
        <f>SUMIFS(Data!$T$30:$T$42,Data!$S$30:$S$42,MarketProfile!A390,Data!$X$30:$X$42,"1")/1000</f>
        <v>0</v>
      </c>
      <c r="E390" s="391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91">
        <f>SUMIFS(Data!$T$63:$T$78,Data!$S$63:$S$78,MarketProfile!A390,Data!$X$63:$X$78,"1")</f>
        <v>316277454510.18481</v>
      </c>
      <c r="H390" s="391"/>
      <c r="I390" s="286">
        <f t="shared" ref="I390:I397" si="31">IFERROR(IF(OR(AND(G390="",C390=""),AND(G390=0,C390=0)),"",
IF(OR(G390="",G390=0),1,
IF(OR(G390&lt;&gt;"",G390&lt;&gt;0),(C390-G390)/ABS(G390)))),-1)</f>
        <v>-0.99911645797122539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7900385.2566999998</v>
      </c>
      <c r="D391" s="391">
        <f>SUMIFS(Data!$T$30:$T$42,Data!$S$30:$S$42,MarketProfile!A391,Data!$X$30:$X$42,"1")/1000</f>
        <v>176933.27480000001</v>
      </c>
      <c r="E391" s="391"/>
      <c r="F391" s="286">
        <f t="shared" si="30"/>
        <v>43.651777714680037</v>
      </c>
      <c r="G391" s="391">
        <f>SUMIFS(Data!$T$63:$T$78,Data!$S$63:$S$78,MarketProfile!A391,Data!$X$63:$X$78,"1")</f>
        <v>9635947925.5680008</v>
      </c>
      <c r="H391" s="391"/>
      <c r="I391" s="286">
        <f t="shared" si="31"/>
        <v>-0.99918011333002976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47.66</v>
      </c>
      <c r="D392" s="391">
        <f>SUMIFS(Data!$T$30:$T$42,Data!$S$30:$S$42,MarketProfile!A392,Data!$X$30:$X$42,"1")/1000</f>
        <v>220.77294000000001</v>
      </c>
      <c r="E392" s="391"/>
      <c r="F392" s="286">
        <f t="shared" si="30"/>
        <v>-0.78412209394865151</v>
      </c>
      <c r="G392" s="391">
        <f>SUMIFS(Data!$T$63:$T$78,Data!$S$63:$S$78,MarketProfile!A392,Data!$X$63:$X$78,"1")</f>
        <v>2663702</v>
      </c>
      <c r="H392" s="391"/>
      <c r="I392" s="286">
        <f t="shared" si="31"/>
        <v>-0.99998210760813333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36356.737798000002</v>
      </c>
      <c r="D393" s="391">
        <f>SUMIFS(Data!$T$30:$T$42,Data!$S$30:$S$42,MarketProfile!A393,Data!$X$30:$X$42,"1")/1000</f>
        <v>37053.523959999999</v>
      </c>
      <c r="E393" s="391"/>
      <c r="F393" s="286">
        <f t="shared" si="30"/>
        <v>-1.8804855450515068E-2</v>
      </c>
      <c r="G393" s="391">
        <f>SUMIFS(Data!$T$63:$T$78,Data!$S$63:$S$78,MarketProfile!A393,Data!$X$63:$X$78,"1")</f>
        <v>73739037.784999996</v>
      </c>
      <c r="H393" s="391"/>
      <c r="I393" s="286">
        <f t="shared" si="31"/>
        <v>-0.99950695399763678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65658.645191999996</v>
      </c>
      <c r="D394" s="391">
        <f>SUMIFS(Data!$T$30:$T$42,Data!$S$30:$S$42,MarketProfile!A394,Data!$X$30:$X$42,"1")/1000</f>
        <v>0</v>
      </c>
      <c r="E394" s="391"/>
      <c r="F394" s="286">
        <f t="shared" si="30"/>
        <v>1</v>
      </c>
      <c r="G394" s="391">
        <f>SUMIFS(Data!$T$63:$T$78,Data!$S$63:$S$78,MarketProfile!A394,Data!$X$63:$X$78,"1")</f>
        <v>330425565.35399997</v>
      </c>
      <c r="H394" s="391"/>
      <c r="I394" s="286">
        <f t="shared" si="31"/>
        <v>-0.99980129066247736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0</v>
      </c>
      <c r="D395" s="391">
        <f>SUMIFS(Data!$T$30:$T$42,Data!$S$30:$S$42,MarketProfile!A395,Data!$X$30:$X$42,"1")/1000</f>
        <v>0</v>
      </c>
      <c r="E395" s="391"/>
      <c r="F395" s="286" t="str">
        <f t="shared" si="30"/>
        <v/>
      </c>
      <c r="G395" s="391">
        <f>SUMIFS(Data!$T$63:$T$78,Data!$S$63:$S$78,MarketProfile!A395,Data!$X$63:$X$78,"1")</f>
        <v>0</v>
      </c>
      <c r="H395" s="391"/>
      <c r="I395" s="286" t="str">
        <f t="shared" si="31"/>
        <v/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2263310.9990700004</v>
      </c>
      <c r="D396" s="391">
        <f>SUMIFS(Data!$T$30:$T$42,Data!$S$30:$S$42,MarketProfile!A396,Data!$X$30:$X$42,"1")/1000</f>
        <v>4770151.7610050002</v>
      </c>
      <c r="E396" s="391"/>
      <c r="F396" s="286">
        <f t="shared" si="30"/>
        <v>-0.52552641667040922</v>
      </c>
      <c r="G396" s="391">
        <f>SUMIFS(Data!$T$63:$T$78,Data!$S$63:$S$78,MarketProfile!A396,Data!$X$63:$X$78,"1")</f>
        <v>1651342291.6800001</v>
      </c>
      <c r="H396" s="391"/>
      <c r="I396" s="286">
        <f t="shared" si="31"/>
        <v>-0.99862941135192063</v>
      </c>
    </row>
    <row r="397" spans="1:9" ht="15" x14ac:dyDescent="0.25">
      <c r="A397" s="288" t="s">
        <v>133</v>
      </c>
      <c r="B397" s="250"/>
      <c r="C397" s="250">
        <f>SUM(C390:C396)</f>
        <v>289710183.11237592</v>
      </c>
      <c r="D397" s="383">
        <f>SUM(D390:E396)</f>
        <v>4984359.3327050004</v>
      </c>
      <c r="E397" s="383">
        <f>SUM(E390:E396)</f>
        <v>0</v>
      </c>
      <c r="F397" s="326">
        <f t="shared" si="30"/>
        <v>57.123855800571029</v>
      </c>
      <c r="G397" s="383">
        <f>SUM(G390:H396)</f>
        <v>327971573032.57178</v>
      </c>
      <c r="H397" s="383">
        <v>320543973</v>
      </c>
      <c r="I397" s="326">
        <f t="shared" si="31"/>
        <v>-0.99911666068972516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2702464.84332</v>
      </c>
      <c r="D400" s="391">
        <f>SUMIFS(Data!$T$30:$T$42,Data!$S$30:$S$42,MarketProfile!A400,Data!$X$30:$X$42,"0")/1000</f>
        <v>1091870.98279</v>
      </c>
      <c r="E400" s="391"/>
      <c r="F400" s="286">
        <f t="shared" ref="F400:F404" si="32">IFERROR(IF(OR(AND(D400="",C400=""),AND(D400=0,C400=0)),"",
IF(OR(D400="",D400=0),1,
IF(OR(D400&lt;&gt;"",D400&lt;&gt;0),(C400-D400)/ABS(D400)))),-1)</f>
        <v>1.4750770795415176</v>
      </c>
      <c r="G400" s="391">
        <f>SUMIFS(Data!$T$63:$T$78,Data!$S$63:$S$78,MarketProfile!A400,Data!$X$63:$X$78,"0")/1000</f>
        <v>1188005.54859</v>
      </c>
      <c r="H400" s="391"/>
      <c r="I400" s="286">
        <f t="shared" ref="I400:I404" si="33">IFERROR(IF(OR(AND(G400="",C400=""),AND(G400=0,C400=0)),"",
IF(OR(G400="",G400=0),1,
IF(OR(G400&lt;&gt;"",G400&lt;&gt;0),(C400-G400)/ABS(G400)))),-1)</f>
        <v>1.2747914321843494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1295136.27321</v>
      </c>
      <c r="D401" s="391">
        <f>SUMIFS(Data!$T$30:$T$42,Data!$S$30:$S$42,MarketProfile!A401,Data!$X$30:$X$42,"0")/1000</f>
        <v>473884.14333999995</v>
      </c>
      <c r="E401" s="391"/>
      <c r="F401" s="286">
        <f t="shared" si="32"/>
        <v>1.733023021369112</v>
      </c>
      <c r="G401" s="391">
        <f>SUMIFS(Data!$T$63:$T$78,Data!$S$63:$S$78,MarketProfile!A401,Data!$X$63:$X$78,"0")/1000</f>
        <v>667287.42972999997</v>
      </c>
      <c r="H401" s="391"/>
      <c r="I401" s="286">
        <f t="shared" si="33"/>
        <v>0.94089715392067597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77720.286939999991</v>
      </c>
      <c r="D402" s="391">
        <f>SUMIFS(Data!$T$30:$T$42,Data!$S$30:$S$42,MarketProfile!A402,Data!$X$30:$X$42,"0")/1000</f>
        <v>233092.73850000001</v>
      </c>
      <c r="E402" s="391"/>
      <c r="F402" s="286">
        <f t="shared" si="32"/>
        <v>-0.6665692486168977</v>
      </c>
      <c r="G402" s="391">
        <f>SUMIFS(Data!$T$63:$T$78,Data!$S$63:$S$78,MarketProfile!A402,Data!$X$63:$X$78,"0")/1000</f>
        <v>145387.73659000001</v>
      </c>
      <c r="H402" s="391"/>
      <c r="I402" s="286">
        <f t="shared" si="33"/>
        <v>-0.46542749228447849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91">
        <f>SUMIFS(Data!$T$30:$T$42,Data!$S$30:$S$42,MarketProfile!A403,Data!$X$30:$X$42,"0")/1000</f>
        <v>0</v>
      </c>
      <c r="E403" s="391"/>
      <c r="F403" s="286" t="str">
        <f t="shared" si="32"/>
        <v/>
      </c>
      <c r="G403" s="391">
        <f>SUMIFS(Data!$T$63:$T$78,Data!$S$63:$S$78,MarketProfile!A403,Data!$X$63:$X$78,"0")/1000</f>
        <v>0</v>
      </c>
      <c r="H403" s="391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4075321.4034700003</v>
      </c>
      <c r="D404" s="383">
        <f>SUM(D400:E403)</f>
        <v>1798847.86463</v>
      </c>
      <c r="E404" s="383">
        <f>SUM(E400:E403)</f>
        <v>0</v>
      </c>
      <c r="F404" s="326">
        <f t="shared" si="32"/>
        <v>1.2655175479824372</v>
      </c>
      <c r="G404" s="383">
        <f>SUM(G400:H403)</f>
        <v>2000680.7149100001</v>
      </c>
      <c r="H404" s="383">
        <v>1436842</v>
      </c>
      <c r="I404" s="326">
        <f t="shared" si="33"/>
        <v>1.0369674046932207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548165</v>
      </c>
      <c r="D408" s="391">
        <f>SUMIFS(Data!$W$34:$W$47,Data!$S$34:$S$47,MarketProfile!A408,Data!$X$34:$X$47,"1")</f>
        <v>509151</v>
      </c>
      <c r="E408" s="391"/>
      <c r="F408" s="286">
        <f t="shared" ref="F408:F414" si="34">IFERROR(IF(OR(AND(D408="",C408=""),AND(D408=0,C408=0)),"",
IF(OR(D408="",D408=0),1,
IF(OR(D408&lt;&gt;"",D408&lt;&gt;0),(C408-D408)/ABS(D408)))),-1)</f>
        <v>7.6625598299914957E-2</v>
      </c>
      <c r="G408" s="391">
        <f>SUMIFS(Data!$W$81:$W$93,Data!$S$81:$S$93,MarketProfile!A408,Data!$X$81:$X$93,"1")</f>
        <v>560071</v>
      </c>
      <c r="H408" s="391"/>
      <c r="I408" s="286">
        <f t="shared" ref="I408:I414" si="35">IFERROR(IF(OR(AND(G408="",C408=""),AND(G408=0,C408=0)),"",
IF(OR(G408="",G408=0),1,
IF(OR(G408&lt;&gt;"",G408&lt;&gt;0),(C408-G408)/ABS(G408)))),-1)</f>
        <v>-2.1258019072581871E-2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963916</v>
      </c>
      <c r="D409" s="391">
        <f>SUMIFS(Data!$W$34:$W$47,Data!$S$34:$S$47,MarketProfile!A409,Data!$X$34:$X$47,"1")</f>
        <v>892191</v>
      </c>
      <c r="E409" s="391"/>
      <c r="F409" s="286">
        <f t="shared" si="34"/>
        <v>8.0391978847578607E-2</v>
      </c>
      <c r="G409" s="391">
        <f>SUMIFS(Data!$W$81:$W$93,Data!$S$81:$S$93,MarketProfile!A409,Data!$X$81:$X$93,"1")</f>
        <v>0</v>
      </c>
      <c r="H409" s="391"/>
      <c r="I409" s="286">
        <f t="shared" si="35"/>
        <v>1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767993</v>
      </c>
      <c r="D410" s="391">
        <f>SUMIFS(Data!$W$34:$W$47,Data!$S$34:$S$47,MarketProfile!A410,Data!$X$34:$X$47,"1")</f>
        <v>719512</v>
      </c>
      <c r="E410" s="391"/>
      <c r="F410" s="286">
        <f t="shared" si="34"/>
        <v>6.7380391154004377E-2</v>
      </c>
      <c r="G410" s="391">
        <f>SUMIFS(Data!$W$81:$W$93,Data!$S$81:$S$93,MarketProfile!A410,Data!$X$81:$X$93,"1")</f>
        <v>545329</v>
      </c>
      <c r="H410" s="391"/>
      <c r="I410" s="286">
        <f t="shared" si="35"/>
        <v>0.40831131298720591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2012411</v>
      </c>
      <c r="D411" s="391">
        <f>SUMIFS(Data!$W$34:$W$47,Data!$S$34:$S$47,MarketProfile!A411,Data!$X$34:$X$47,"1")</f>
        <v>2414147</v>
      </c>
      <c r="E411" s="391"/>
      <c r="F411" s="286">
        <f t="shared" si="34"/>
        <v>-0.16640908776474672</v>
      </c>
      <c r="G411" s="391">
        <f>SUMIFS(Data!$W$81:$W$93,Data!$S$81:$S$93,MarketProfile!A411,Data!$X$81:$X$93,"1")</f>
        <v>1130173</v>
      </c>
      <c r="H411" s="391"/>
      <c r="I411" s="286">
        <f t="shared" si="35"/>
        <v>0.78062208175208569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1649592</v>
      </c>
      <c r="D412" s="391">
        <f>SUMIFS(Data!$W$34:$W$47,Data!$S$34:$S$47,MarketProfile!A412,Data!$X$34:$X$47,"1")</f>
        <v>1684867</v>
      </c>
      <c r="E412" s="391"/>
      <c r="F412" s="286">
        <f t="shared" si="34"/>
        <v>-2.0936370645279419E-2</v>
      </c>
      <c r="G412" s="391">
        <f>SUMIFS(Data!$W$81:$W$93,Data!$S$81:$S$93,MarketProfile!A412,Data!$X$81:$X$93,"1")</f>
        <v>8116040</v>
      </c>
      <c r="H412" s="391"/>
      <c r="I412" s="286">
        <f t="shared" si="35"/>
        <v>-0.79674915352807529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1558903</v>
      </c>
      <c r="D413" s="391">
        <f>SUMIFS(Data!$W$34:$W$47,Data!$S$34:$S$47,MarketProfile!A413,Data!$X$34:$X$47,"1")</f>
        <v>1594981</v>
      </c>
      <c r="E413" s="391"/>
      <c r="F413" s="286">
        <f t="shared" si="34"/>
        <v>-2.2619705187710702E-2</v>
      </c>
      <c r="G413" s="391">
        <f>SUMIFS(Data!$W$81:$W$93,Data!$S$81:$S$93,MarketProfile!A413,Data!$X$81:$X$93,"1")</f>
        <v>7988422</v>
      </c>
      <c r="H413" s="391"/>
      <c r="I413" s="286">
        <f t="shared" si="35"/>
        <v>-0.804854700965973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137721</v>
      </c>
      <c r="D414" s="391">
        <f>SUMIFS(Data!$W$34:$W$47,Data!$S$34:$S$47,MarketProfile!A414,Data!$X$34:$X$47,"1")</f>
        <v>137792</v>
      </c>
      <c r="E414" s="391"/>
      <c r="F414" s="286">
        <f t="shared" si="34"/>
        <v>-5.1526939154667903E-4</v>
      </c>
      <c r="G414" s="391">
        <f>SUMIFS(Data!$W$81:$W$93,Data!$S$81:$S$93,MarketProfile!A414,Data!$X$81:$X$93,"1")</f>
        <v>415534</v>
      </c>
      <c r="H414" s="391"/>
      <c r="I414" s="286">
        <f t="shared" si="35"/>
        <v>-0.66856863698277402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925459</v>
      </c>
      <c r="D417" s="391">
        <f>SUMIFS(Data!$W$34:$W$47,Data!$S$34:$S$47,MarketProfile!A417,Data!$X$34:$X$47,"0")</f>
        <v>785857</v>
      </c>
      <c r="E417" s="391"/>
      <c r="F417" s="286">
        <f t="shared" ref="F417:F419" si="36">IFERROR(IF(OR(AND(D417="",C417=""),AND(D417=0,C417=0)),"",
IF(OR(D417="",D417=0),1,
IF(OR(D417&lt;&gt;"",D417&lt;&gt;0),(C417-D417)/ABS(D417)))),-1)</f>
        <v>0.17764300629758339</v>
      </c>
      <c r="G417" s="391">
        <f>SUMIFS(Data!$W$81:$W$93,Data!$S$81:$S$93,MarketProfile!A417,Data!$X$81:$X$93,"0")</f>
        <v>1000234</v>
      </c>
      <c r="H417" s="391"/>
      <c r="I417" s="286">
        <f t="shared" ref="I417:I419" si="37">IFERROR(IF(OR(AND(G417="",C417=""),AND(G417=0,C417=0)),"",
IF(OR(G417="",G417=0),1,
IF(OR(G417&lt;&gt;"",G417&lt;&gt;0),(C417-G417)/ABS(G417)))),-1)</f>
        <v>-7.4757506743422034E-2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1275176</v>
      </c>
      <c r="D418" s="391">
        <f>SUMIFS(Data!$W$34:$W$47,Data!$S$34:$S$47,MarketProfile!A418,Data!$X$34:$X$47,"0")</f>
        <v>996186</v>
      </c>
      <c r="E418" s="391"/>
      <c r="F418" s="286">
        <f t="shared" si="36"/>
        <v>0.2800581417526446</v>
      </c>
      <c r="G418" s="391">
        <f>SUMIFS(Data!$W$75:$W$87,Data!$S$75:$S$87,MarketProfile!A418,Data!$X$75:$X$87,"0")</f>
        <v>1797298</v>
      </c>
      <c r="H418" s="391"/>
      <c r="I418" s="286">
        <f t="shared" si="37"/>
        <v>-0.29050385634435694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453485</v>
      </c>
      <c r="D419" s="391">
        <f>SUMIFS(Data!$W$34:$W$47,Data!$S$34:$S$47,MarketProfile!A419,Data!$X$34:$X$47,"0")</f>
        <v>293260</v>
      </c>
      <c r="E419" s="391"/>
      <c r="F419" s="286">
        <f t="shared" si="36"/>
        <v>0.54635818045420448</v>
      </c>
      <c r="G419" s="391">
        <f>SUMIFS(Data!$W$75:$W$87,Data!$S$75:$S$87,MarketProfile!A419,Data!$X$75:$X$87,"0")</f>
        <v>213084</v>
      </c>
      <c r="H419" s="391"/>
      <c r="I419" s="286">
        <f t="shared" si="37"/>
        <v>1.1281982692271593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79" t="str">
        <f>"Market Profile - "&amp; TEXT($H$3,"MMM")&amp;" "&amp;TEXT($H$3,"YYYY")</f>
        <v>Market Profile - Jan 2019</v>
      </c>
      <c r="B429" s="248"/>
      <c r="C429" s="248"/>
      <c r="D429" s="248"/>
      <c r="E429" s="384" t="s">
        <v>205</v>
      </c>
      <c r="F429" s="384"/>
      <c r="G429" s="384"/>
      <c r="H429" s="384"/>
      <c r="I429" s="384"/>
    </row>
    <row r="430" spans="1:12" ht="10.5" customHeight="1" thickBot="1" x14ac:dyDescent="0.25">
      <c r="A430" s="380"/>
      <c r="B430" s="278"/>
      <c r="C430" s="278"/>
      <c r="D430" s="278"/>
      <c r="E430" s="385"/>
      <c r="F430" s="385"/>
      <c r="G430" s="385"/>
      <c r="H430" s="385"/>
      <c r="I430" s="385"/>
    </row>
    <row r="431" spans="1:12" ht="38.25" customHeight="1" thickBot="1" x14ac:dyDescent="0.3">
      <c r="A431" s="330"/>
      <c r="B431" s="330"/>
      <c r="C431" s="341" t="str">
        <f>TEXT($H$3,"MMM")&amp;" "&amp;TEXT($H$3,"YYYY")</f>
        <v>Jan 2019</v>
      </c>
      <c r="D431" s="330"/>
      <c r="E431" s="341" t="str">
        <f>TEXT(DATE(2000,TEXT(H3,"M")-1,1),"mmm")&amp; " "&amp; TEXT(H3,"YYYY")-1</f>
        <v>Dec 2018</v>
      </c>
      <c r="F431" s="180" t="s">
        <v>193</v>
      </c>
      <c r="G431" s="330"/>
      <c r="H431" s="342" t="str">
        <f>TEXT($H$3,"MMM")&amp;" "&amp;TEXT($H$3,"YYYY")-1</f>
        <v>Jan 2018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610</v>
      </c>
      <c r="D434" s="400">
        <f>SUMIFS(Data!$AQ:$AQ,Data!$AN:$AN,MarketProfile!A434,Data!$AS:$AS,"1")</f>
        <v>845</v>
      </c>
      <c r="E434" s="400"/>
      <c r="F434" s="179">
        <f>IFERROR(IF(OR(AND(D434="",C434=""),AND(D434=0,C434=0)),"",
IF(OR(D434="",D434=0),1,
IF(OR(D434&lt;&gt;"",D434&lt;&gt;0),(C434-D434)/ABS(D434)))),-1)</f>
        <v>-0.27810650887573962</v>
      </c>
      <c r="G434" s="400">
        <f>SUMIFS(Data!$BE:$BE,Data!$BB:$BB,MarketProfile!A434,Data!BG:BG,"1")</f>
        <v>947</v>
      </c>
      <c r="H434" s="400"/>
      <c r="I434" s="179">
        <f t="shared" ref="I434:I441" si="38">IFERROR(IF(OR(AND(G434="",C434=""),AND(G434=0,C434=0)),"",
IF(OR(G434="",G434=0),1,
IF(OR(G434&lt;&gt;"",G434&lt;&gt;0),(C434-G434)/ABS(G434)))),-1)</f>
        <v>-0.35586061246040129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2064</v>
      </c>
      <c r="D435" s="400">
        <f>SUMIFS(Data!$AQ:$AQ,Data!$AN:$AN,MarketProfile!A435,Data!$AS:$AS,"1")</f>
        <v>2814</v>
      </c>
      <c r="E435" s="400"/>
      <c r="F435" s="179">
        <f t="shared" ref="F435:F442" si="39">IFERROR(IF(OR(AND(D435="",C435=""),AND(D435=0,C435=0)),"",
IF(OR(D435="",D435=0),1,
IF(OR(D435&lt;&gt;"",D435&lt;&gt;0),(C435-D435)/ABS(D435)))),-1)</f>
        <v>-0.26652452025586354</v>
      </c>
      <c r="G435" s="400">
        <f>SUMIFS(Data!$BE:$BE,Data!$BB:$BB,MarketProfile!A435,Data!BG:BG,"1")</f>
        <v>1967</v>
      </c>
      <c r="H435" s="400"/>
      <c r="I435" s="179">
        <f t="shared" si="38"/>
        <v>4.9313675648195221E-2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7790</v>
      </c>
      <c r="D436" s="400">
        <f>SUMIFS(Data!$AQ:$AQ,Data!$AN:$AN,MarketProfile!A436,Data!$AS:$AS,"1")</f>
        <v>8960</v>
      </c>
      <c r="E436" s="400"/>
      <c r="F436" s="179">
        <f t="shared" si="39"/>
        <v>-0.13058035714285715</v>
      </c>
      <c r="G436" s="400">
        <f>SUMIFS(Data!$BE:$BE,Data!$BB:$BB,MarketProfile!A436,Data!BG:BG,"1")</f>
        <v>6658</v>
      </c>
      <c r="H436" s="400"/>
      <c r="I436" s="179">
        <f t="shared" si="38"/>
        <v>0.1700210273355362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9</v>
      </c>
      <c r="D437" s="400">
        <f>SUMIFS(Data!$AQ:$AQ,Data!$AN:$AN,MarketProfile!A437,Data!$AS:$AS,"1")</f>
        <v>17</v>
      </c>
      <c r="E437" s="400"/>
      <c r="F437" s="179">
        <f t="shared" si="39"/>
        <v>-0.47058823529411764</v>
      </c>
      <c r="G437" s="400">
        <f>SUMIFS(Data!$BE:$BE,Data!$BB:$BB,MarketProfile!A437,Data!BG:BG,"1")</f>
        <v>2</v>
      </c>
      <c r="H437" s="400"/>
      <c r="I437" s="179">
        <f t="shared" si="38"/>
        <v>3.5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1892</v>
      </c>
      <c r="D438" s="400">
        <f>SUMIFS(Data!$AQ:$AQ,Data!$AN:$AN,MarketProfile!A438,Data!$AS:$AS,"1")</f>
        <v>2357</v>
      </c>
      <c r="E438" s="400"/>
      <c r="F438" s="179">
        <f t="shared" si="39"/>
        <v>-0.1972846839202376</v>
      </c>
      <c r="G438" s="400">
        <f>SUMIFS(Data!$BE:$BE,Data!$BB:$BB,MarketProfile!A438,Data!BG:BG,"1")</f>
        <v>2959</v>
      </c>
      <c r="H438" s="400"/>
      <c r="I438" s="179">
        <f t="shared" si="38"/>
        <v>-0.36059479553903345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17556</v>
      </c>
      <c r="D439" s="400">
        <f>SUMIFS(Data!$AQ:$AQ,Data!$AN:$AN,MarketProfile!A439,Data!$AS:$AS,"1")</f>
        <v>16932</v>
      </c>
      <c r="E439" s="400"/>
      <c r="F439" s="179">
        <f t="shared" si="39"/>
        <v>3.6853295535081501E-2</v>
      </c>
      <c r="G439" s="400">
        <f>SUMIFS(Data!$BE:$BE,Data!$BB:$BB,MarketProfile!A439,Data!BG:BG,"1")</f>
        <v>22205</v>
      </c>
      <c r="H439" s="400"/>
      <c r="I439" s="179">
        <f t="shared" si="38"/>
        <v>-0.20936725962621031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12</v>
      </c>
      <c r="D440" s="400">
        <f>SUMIFS(Data!$AQ:$AQ,Data!$AN:$AN,MarketProfile!A440,Data!$AS:$AS,"1")</f>
        <v>16</v>
      </c>
      <c r="E440" s="400"/>
      <c r="F440" s="179">
        <f t="shared" si="39"/>
        <v>-0.25</v>
      </c>
      <c r="G440" s="400">
        <f>SUMIFS(Data!$BE:$BE,Data!$BB:$BB,MarketProfile!A440,Data!BG:BG,"1")</f>
        <v>14</v>
      </c>
      <c r="H440" s="400"/>
      <c r="I440" s="179">
        <f t="shared" si="38"/>
        <v>-0.14285714285714285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4</v>
      </c>
      <c r="D441" s="400">
        <f>SUMIFS(Data!$AQ:$AQ,Data!$AN:$AN,MarketProfile!A441,Data!$AS:$AS,"1")</f>
        <v>21</v>
      </c>
      <c r="E441" s="400"/>
      <c r="F441" s="179">
        <f t="shared" si="39"/>
        <v>-0.80952380952380953</v>
      </c>
      <c r="G441" s="400">
        <f>SUMIFS(Data!$BE:$BE,Data!$BB:$BB,MarketProfile!A441,Data!BG:BG,"1")</f>
        <v>0</v>
      </c>
      <c r="H441" s="400"/>
      <c r="I441" s="179">
        <f t="shared" si="38"/>
        <v>1</v>
      </c>
      <c r="J441" s="158"/>
    </row>
    <row r="442" spans="1:10" x14ac:dyDescent="0.2">
      <c r="A442" s="246" t="s">
        <v>187</v>
      </c>
      <c r="B442" s="247"/>
      <c r="C442" s="4">
        <f>SUM(C434:C441)</f>
        <v>29937</v>
      </c>
      <c r="D442" s="401">
        <f>SUM(D434:E441)</f>
        <v>31962</v>
      </c>
      <c r="E442" s="401">
        <f>SUM(E434:E441)</f>
        <v>0</v>
      </c>
      <c r="F442" s="166">
        <f t="shared" si="39"/>
        <v>-6.3356485826919468E-2</v>
      </c>
      <c r="G442" s="401">
        <f>SUM(G434:H441)</f>
        <v>34752</v>
      </c>
      <c r="H442" s="401">
        <f>SUM(H434:H441)</f>
        <v>0</v>
      </c>
      <c r="I442" s="166">
        <f>IFERROR(IF(OR(AND(G442="",C442=""),AND(G442=0,C442=0)),"",
IF(OR(G442="",G442=0),1,
IF(OR(G442&lt;&gt;"",G442&lt;&gt;0),(C442-G442)/ABS(G442)))),-1)</f>
        <v>-0.1385531767955801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400">
        <f>SUMIFS(Data!$AQ:$AQ,Data!$AN:$AN,MarketProfile!A444,Data!$AS:$AS,"0")</f>
        <v>0</v>
      </c>
      <c r="E444" s="400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400">
        <f>SUMIFS(Data!$BE:$BE,Data!$BB:$BB,MarketProfile!A444,Data!BG:BG,"0")</f>
        <v>2</v>
      </c>
      <c r="H444" s="400"/>
      <c r="I444" s="179">
        <f t="shared" ref="I444:I452" si="41">IFERROR(IF(OR(AND(G444="",C444=""),AND(G444=0,C444=0)),"",
IF(OR(G444="",G444=0),1,
IF(OR(G444&lt;&gt;"",G444&lt;&gt;0),(C444-G444)/ABS(G444)))),-1)</f>
        <v>-1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92</v>
      </c>
      <c r="D445" s="400">
        <f>SUMIFS(Data!$AQ:$AQ,Data!$AN:$AN,MarketProfile!A445,Data!$AS:$AS,"0")</f>
        <v>116</v>
      </c>
      <c r="E445" s="400"/>
      <c r="F445" s="179">
        <f t="shared" si="40"/>
        <v>-0.20689655172413793</v>
      </c>
      <c r="G445" s="400">
        <f>SUMIFS(Data!$BE:$BE,Data!$BB:$BB,MarketProfile!A445,Data!BG:BG,"0")</f>
        <v>140</v>
      </c>
      <c r="H445" s="400"/>
      <c r="I445" s="179">
        <f t="shared" si="41"/>
        <v>-0.34285714285714286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495</v>
      </c>
      <c r="D446" s="400">
        <f>SUMIFS(Data!$AQ:$AQ,Data!$AN:$AN,MarketProfile!A446,Data!$AS:$AS,"0")</f>
        <v>680</v>
      </c>
      <c r="E446" s="400"/>
      <c r="F446" s="179">
        <f t="shared" si="40"/>
        <v>-0.27205882352941174</v>
      </c>
      <c r="G446" s="400">
        <f>SUMIFS(Data!$BE:$BE,Data!$BB:$BB,MarketProfile!A446,Data!BG:BG,"0")</f>
        <v>497</v>
      </c>
      <c r="H446" s="400"/>
      <c r="I446" s="179">
        <f t="shared" si="41"/>
        <v>-4.0241448692152921E-3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400">
        <f>SUMIFS(Data!$AQ:$AQ,Data!$AN:$AN,MarketProfile!A447,Data!$AS:$AS,"0")</f>
        <v>0</v>
      </c>
      <c r="E447" s="400"/>
      <c r="F447" s="179" t="str">
        <f t="shared" si="40"/>
        <v/>
      </c>
      <c r="G447" s="400">
        <f>SUMIFS(Data!$BE:$BE,Data!$BB:$BB,MarketProfile!A447,Data!BG:BG,"0")</f>
        <v>0</v>
      </c>
      <c r="H447" s="400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69</v>
      </c>
      <c r="D448" s="400">
        <f>SUMIFS(Data!$AQ:$AQ,Data!$AN:$AN,MarketProfile!A448,Data!$AS:$AS,"0")</f>
        <v>196</v>
      </c>
      <c r="E448" s="400"/>
      <c r="F448" s="179">
        <f t="shared" si="40"/>
        <v>-0.64795918367346939</v>
      </c>
      <c r="G448" s="400">
        <f>SUMIFS(Data!$BE:$BE,Data!$BB:$BB,MarketProfile!A448,Data!BG:BG,"0")</f>
        <v>260</v>
      </c>
      <c r="H448" s="400"/>
      <c r="I448" s="179">
        <f t="shared" si="41"/>
        <v>-0.73461538461538467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4953</v>
      </c>
      <c r="D449" s="400">
        <f>SUMIFS(Data!$AQ:$AQ,Data!$AN:$AN,MarketProfile!A449,Data!$AS:$AS,"0")</f>
        <v>4438</v>
      </c>
      <c r="E449" s="400"/>
      <c r="F449" s="179">
        <f t="shared" si="40"/>
        <v>0.1160432627309599</v>
      </c>
      <c r="G449" s="400">
        <f>SUMIFS(Data!$BE:$BE,Data!$BB:$BB,MarketProfile!A449,Data!BG:BG,"0")</f>
        <v>2795</v>
      </c>
      <c r="H449" s="400"/>
      <c r="I449" s="179">
        <f t="shared" si="41"/>
        <v>0.77209302325581397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400">
        <f>SUMIFS(Data!$AQ:$AQ,Data!$AN:$AN,MarketProfile!A450,Data!$AS:$AS,"0")</f>
        <v>8</v>
      </c>
      <c r="E450" s="400"/>
      <c r="F450" s="179">
        <f t="shared" si="40"/>
        <v>-1</v>
      </c>
      <c r="G450" s="400">
        <f>SUMIFS(Data!$BE:$BE,Data!$BB:$BB,MarketProfile!A450,Data!BG:BG,"0")</f>
        <v>0</v>
      </c>
      <c r="H450" s="400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400">
        <f>SUMIFS(Data!$AQ:$AQ,Data!$AN:$AN,MarketProfile!A451,Data!$AS:$AS,"0")</f>
        <v>0</v>
      </c>
      <c r="E451" s="400"/>
      <c r="F451" s="179" t="str">
        <f t="shared" si="40"/>
        <v/>
      </c>
      <c r="G451" s="400">
        <f>SUMIFS(Data!$BE:$BE,Data!$BB:$BB,MarketProfile!A451,Data!BG:BG,"0")</f>
        <v>0</v>
      </c>
      <c r="H451" s="400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5609</v>
      </c>
      <c r="D452" s="401">
        <f>SUM(D444:E451)</f>
        <v>5438</v>
      </c>
      <c r="E452" s="401">
        <f>SUM(E444:E451)</f>
        <v>0</v>
      </c>
      <c r="F452" s="166">
        <f t="shared" si="40"/>
        <v>3.1445384332475172E-2</v>
      </c>
      <c r="G452" s="401">
        <f>SUM(G444:H451)</f>
        <v>3694</v>
      </c>
      <c r="H452" s="401">
        <f>SUM(H444:H451)</f>
        <v>0</v>
      </c>
      <c r="I452" s="166">
        <f t="shared" si="41"/>
        <v>0.51840822956145105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12005</v>
      </c>
      <c r="D455" s="400">
        <f>SUMIFS(Data!$AP:$AP,Data!$AN:$AN,MarketProfile!A455,Data!$AS:$AS,"1")</f>
        <v>13529</v>
      </c>
      <c r="E455" s="400"/>
      <c r="F455" s="179">
        <f t="shared" ref="F455:F463" si="42">IFERROR(IF(OR(AND(D455="",C455=""),AND(D455=0,C455=0)),"",
IF(OR(D455="",D455=0),1,
IF(OR(D455&lt;&gt;"",D455&lt;&gt;0),(C455-D455)/ABS(D455)))),-1)</f>
        <v>-0.11264690664498485</v>
      </c>
      <c r="G455" s="400">
        <f>SUMIFS(Data!$BD:$BD,Data!$BB:$BB,MarketProfile!A455,Data!BG:BG,"1")</f>
        <v>16879</v>
      </c>
      <c r="H455" s="400"/>
      <c r="I455" s="179">
        <f t="shared" ref="I455:I463" si="43">IFERROR(IF(OR(AND(G455="",C455=""),AND(G455=0,C455=0)),"",
IF(OR(G455="",G455=0),1,
IF(OR(G455&lt;&gt;"",G455&lt;&gt;0),(C455-G455)/ABS(G455)))),-1)</f>
        <v>-0.28876118253451033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20330</v>
      </c>
      <c r="D456" s="400">
        <f>SUMIFS(Data!$AP:$AP,Data!$AN:$AN,MarketProfile!A456,Data!$AS:$AS,"1")</f>
        <v>18168</v>
      </c>
      <c r="E456" s="400"/>
      <c r="F456" s="179">
        <f t="shared" si="42"/>
        <v>0.11900044033465433</v>
      </c>
      <c r="G456" s="400">
        <f>SUMIFS(Data!$BD:$BD,Data!$BB:$BB,MarketProfile!A456,Data!BG:BG,"1")</f>
        <v>28296</v>
      </c>
      <c r="H456" s="400"/>
      <c r="I456" s="179">
        <f t="shared" si="43"/>
        <v>-0.28152389030251623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44834</v>
      </c>
      <c r="D457" s="400">
        <f>SUMIFS(Data!$AP:$AP,Data!$AN:$AN,MarketProfile!A457,Data!$AS:$AS,"1")</f>
        <v>52866</v>
      </c>
      <c r="E457" s="400"/>
      <c r="F457" s="179">
        <f t="shared" si="42"/>
        <v>-0.15193129799871372</v>
      </c>
      <c r="G457" s="400">
        <f>SUMIFS(Data!$BD:$BD,Data!$BB:$BB,MarketProfile!A457,Data!BG:BG,"1")</f>
        <v>37326</v>
      </c>
      <c r="H457" s="400"/>
      <c r="I457" s="179">
        <f t="shared" si="43"/>
        <v>0.20114665380699781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285</v>
      </c>
      <c r="D458" s="400">
        <f>SUMIFS(Data!$AP:$AP,Data!$AN:$AN,MarketProfile!A458,Data!$AS:$AS,"1")</f>
        <v>325</v>
      </c>
      <c r="E458" s="400"/>
      <c r="F458" s="179">
        <f t="shared" si="42"/>
        <v>-0.12307692307692308</v>
      </c>
      <c r="G458" s="400">
        <f>SUMIFS(Data!$BD:$BD,Data!$BB:$BB,MarketProfile!A458,Data!BG:BG,"1")</f>
        <v>8</v>
      </c>
      <c r="H458" s="400"/>
      <c r="I458" s="179">
        <f t="shared" si="43"/>
        <v>34.625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10328</v>
      </c>
      <c r="D459" s="400">
        <f>SUMIFS(Data!$AP:$AP,Data!$AN:$AN,MarketProfile!A459,Data!$AS:$AS,"1")</f>
        <v>15738</v>
      </c>
      <c r="E459" s="400"/>
      <c r="F459" s="179">
        <f t="shared" si="42"/>
        <v>-0.34375397127970519</v>
      </c>
      <c r="G459" s="400">
        <f>SUMIFS(Data!$BD:$BD,Data!$BB:$BB,MarketProfile!A459,Data!BG:BG,"1")</f>
        <v>18822</v>
      </c>
      <c r="H459" s="400"/>
      <c r="I459" s="179">
        <f t="shared" si="43"/>
        <v>-0.45128041653384338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87376</v>
      </c>
      <c r="D460" s="400">
        <f>SUMIFS(Data!$AP:$AP,Data!$AN:$AN,MarketProfile!A460,Data!$AS:$AS,"1")</f>
        <v>100068</v>
      </c>
      <c r="E460" s="400"/>
      <c r="F460" s="179">
        <f t="shared" si="42"/>
        <v>-0.12683375304792741</v>
      </c>
      <c r="G460" s="400">
        <f>SUMIFS(Data!$BD:$BD,Data!$BB:$BB,MarketProfile!A460,Data!BG:BG,"1")</f>
        <v>96486</v>
      </c>
      <c r="H460" s="400"/>
      <c r="I460" s="179">
        <f t="shared" si="43"/>
        <v>-9.4417843003129984E-2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32</v>
      </c>
      <c r="D461" s="400">
        <f>SUMIFS(Data!$AP:$AP,Data!$AN:$AN,MarketProfile!A461,Data!$AS:$AS,"1")</f>
        <v>200</v>
      </c>
      <c r="E461" s="400"/>
      <c r="F461" s="179">
        <f t="shared" si="42"/>
        <v>-0.84</v>
      </c>
      <c r="G461" s="400">
        <f>SUMIFS(Data!$BD:$BD,Data!$BB:$BB,MarketProfile!A461,Data!BG:BG,"1")</f>
        <v>183</v>
      </c>
      <c r="H461" s="400"/>
      <c r="I461" s="179">
        <f t="shared" si="43"/>
        <v>-0.82513661202185795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11</v>
      </c>
      <c r="D462" s="400">
        <f>SUMIFS(Data!$AP:$AP,Data!$AN:$AN,MarketProfile!A462,Data!$AS:$AS,"1")</f>
        <v>72</v>
      </c>
      <c r="E462" s="400"/>
      <c r="F462" s="179">
        <f t="shared" si="42"/>
        <v>-0.84722222222222221</v>
      </c>
      <c r="G462" s="400">
        <f>SUMIFS(Data!$BD:$BD,Data!$BB:$BB,MarketProfile!A462,Data!BG:BG,"1")</f>
        <v>0</v>
      </c>
      <c r="H462" s="400"/>
      <c r="I462" s="179">
        <f t="shared" si="43"/>
        <v>1</v>
      </c>
    </row>
    <row r="463" spans="1:9" x14ac:dyDescent="0.2">
      <c r="A463" s="246" t="s">
        <v>187</v>
      </c>
      <c r="B463" s="247"/>
      <c r="C463" s="4">
        <f>SUM(C455:C462)</f>
        <v>175201</v>
      </c>
      <c r="D463" s="401">
        <f>SUM(D455:E462)</f>
        <v>200966</v>
      </c>
      <c r="E463" s="401">
        <f>SUM(E455:E462)</f>
        <v>0</v>
      </c>
      <c r="F463" s="166">
        <f t="shared" si="42"/>
        <v>-0.12820576614949791</v>
      </c>
      <c r="G463" s="401">
        <f>SUM(G455:H462)</f>
        <v>198000</v>
      </c>
      <c r="H463" s="401">
        <f>SUM(H455:H462)</f>
        <v>0</v>
      </c>
      <c r="I463" s="166">
        <f t="shared" si="43"/>
        <v>-0.11514646464646465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400">
        <f>SUMIFS(Data!$AP:$AP,Data!$AN:$AN,MarketProfile!A465,Data!$AS:$AS,"0")</f>
        <v>0</v>
      </c>
      <c r="E465" s="400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400">
        <f>SUMIFS(Data!$BD:$BD,Data!$BB:$BB,MarketProfile!A465,Data!BG:BG,"0")</f>
        <v>30</v>
      </c>
      <c r="H465" s="400"/>
      <c r="I465" s="179">
        <f t="shared" ref="I465:I473" si="45">IFERROR(IF(OR(AND(G465="",C465=""),AND(G465=0,C465=0)),"",
IF(OR(G465="",G465=0),1,
IF(OR(G465&lt;&gt;"",G465&lt;&gt;0),(C465-G465)/ABS(G465)))),-1)</f>
        <v>-1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931</v>
      </c>
      <c r="D466" s="400">
        <f>SUMIFS(Data!$AP:$AP,Data!$AN:$AN,MarketProfile!A466,Data!$AS:$AS,"0")</f>
        <v>2037</v>
      </c>
      <c r="E466" s="400"/>
      <c r="F466" s="179">
        <f t="shared" si="44"/>
        <v>-0.54295532646048106</v>
      </c>
      <c r="G466" s="400">
        <f>SUMIFS(Data!$BD:$BD,Data!$BB:$BB,MarketProfile!A466,Data!BG:BG,"0")</f>
        <v>2065</v>
      </c>
      <c r="H466" s="400"/>
      <c r="I466" s="179">
        <f t="shared" si="45"/>
        <v>-0.54915254237288136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14456</v>
      </c>
      <c r="D467" s="400">
        <f>SUMIFS(Data!$AP:$AP,Data!$AN:$AN,MarketProfile!A467,Data!$AS:$AS,"0")</f>
        <v>7927</v>
      </c>
      <c r="E467" s="400"/>
      <c r="F467" s="179">
        <f t="shared" si="44"/>
        <v>0.82364072158445822</v>
      </c>
      <c r="G467" s="400">
        <f>SUMIFS(Data!$BD:$BD,Data!$BB:$BB,MarketProfile!A467,Data!BG:BG,"0")</f>
        <v>8534</v>
      </c>
      <c r="H467" s="400"/>
      <c r="I467" s="179">
        <f t="shared" si="45"/>
        <v>0.69393016170611665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400">
        <f>SUMIFS(Data!$AP:$AP,Data!$AN:$AN,MarketProfile!A468,Data!$AS:$AS,"0")</f>
        <v>0</v>
      </c>
      <c r="E468" s="400"/>
      <c r="F468" s="179" t="str">
        <f t="shared" si="44"/>
        <v/>
      </c>
      <c r="G468" s="400">
        <f>SUMIFS(Data!$BD:$BD,Data!$BB:$BB,MarketProfile!A468,Data!BG:BG,"0")</f>
        <v>0</v>
      </c>
      <c r="H468" s="400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349</v>
      </c>
      <c r="D469" s="400">
        <f>SUMIFS(Data!$AP:$AP,Data!$AN:$AN,MarketProfile!A469,Data!$AS:$AS,"0")</f>
        <v>831</v>
      </c>
      <c r="E469" s="400"/>
      <c r="F469" s="179">
        <f t="shared" si="44"/>
        <v>-0.58002406738868828</v>
      </c>
      <c r="G469" s="400">
        <f>SUMIFS(Data!$BD:$BD,Data!$BB:$BB,MarketProfile!A469,Data!BG:BG,"0")</f>
        <v>1947</v>
      </c>
      <c r="H469" s="400"/>
      <c r="I469" s="179">
        <f t="shared" si="45"/>
        <v>-0.82074987159732926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33714</v>
      </c>
      <c r="D470" s="400">
        <f>SUMIFS(Data!$AP:$AP,Data!$AN:$AN,MarketProfile!A470,Data!$AS:$AS,"0")</f>
        <v>40573</v>
      </c>
      <c r="E470" s="400"/>
      <c r="F470" s="179">
        <f t="shared" si="44"/>
        <v>-0.1690533113154068</v>
      </c>
      <c r="G470" s="400">
        <f>SUMIFS(Data!$BD:$BD,Data!$BB:$BB,MarketProfile!A470,Data!BG:BG,"0")</f>
        <v>22044</v>
      </c>
      <c r="H470" s="400"/>
      <c r="I470" s="179">
        <f t="shared" si="45"/>
        <v>0.52939575394665217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400">
        <f>SUMIFS(Data!$AP:$AP,Data!$AN:$AN,MarketProfile!A471,Data!$AS:$AS,"0")</f>
        <v>52</v>
      </c>
      <c r="E471" s="400"/>
      <c r="F471" s="179">
        <f t="shared" si="44"/>
        <v>-1</v>
      </c>
      <c r="G471" s="400">
        <f>SUMIFS(Data!$BD:$BD,Data!$BB:$BB,MarketProfile!A471,Data!BG:BG,"0")</f>
        <v>0</v>
      </c>
      <c r="H471" s="400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400">
        <f>SUMIFS(Data!$AP:$AP,Data!$AN:$AN,MarketProfile!A472,Data!$AS:$AS,"0")</f>
        <v>0</v>
      </c>
      <c r="E472" s="400"/>
      <c r="F472" s="179" t="str">
        <f t="shared" si="44"/>
        <v/>
      </c>
      <c r="G472" s="400">
        <f>SUMIFS(Data!$BD:$BD,Data!$BB:$BB,MarketProfile!A472,Data!BG:BG,"0")</f>
        <v>0</v>
      </c>
      <c r="H472" s="400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49450</v>
      </c>
      <c r="D473" s="401">
        <f>SUM(D465:E472)</f>
        <v>51420</v>
      </c>
      <c r="E473" s="401">
        <v>34213</v>
      </c>
      <c r="F473" s="166">
        <f t="shared" si="44"/>
        <v>-3.8311940879035396E-2</v>
      </c>
      <c r="G473" s="401">
        <f>SUM(G465:H472)</f>
        <v>34620</v>
      </c>
      <c r="H473" s="401">
        <f>SUM(H465:H472)</f>
        <v>0</v>
      </c>
      <c r="I473" s="166">
        <f t="shared" si="45"/>
        <v>0.42836510687463891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2576898.5214</v>
      </c>
      <c r="D476" s="400">
        <f>SUMIFS(Data!$AO:$AO,Data!$AN:$AN,MarketProfile!A476,Data!$AS:$AS,"1")/1000</f>
        <v>3027628.97016</v>
      </c>
      <c r="E476" s="400"/>
      <c r="F476" s="179">
        <f t="shared" ref="F476:F484" si="46">IFERROR(IF(OR(AND(D476="",C476=""),AND(D476=0,C476=0)),"",
IF(OR(D476="",D476=0),1,
IF(OR(D476&lt;&gt;"",D476&lt;&gt;0),(C476-D476)/ABS(D476)))),-1)</f>
        <v>-0.14887241904551485</v>
      </c>
      <c r="G476" s="400">
        <f>SUMIFS(Data!$BC:$BC,Data!$BB:$BB,MarketProfile!A476,Data!BG:BG,"1")/1000</f>
        <v>3033244.48196</v>
      </c>
      <c r="H476" s="400"/>
      <c r="I476" s="179">
        <f t="shared" ref="I476:I484" si="47">IFERROR(IF(OR(AND(G476="",C476=""),AND(G476=0,C476=0)),"",
IF(OR(G476="",G476=0),1,
IF(OR(G476&lt;&gt;"",G476&lt;&gt;0),(C476-G476)/ABS(G476)))),-1)</f>
        <v>-0.15044813013724556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4987694.7231549993</v>
      </c>
      <c r="D477" s="400">
        <f>SUMIFS(Data!$AO:$AO,Data!$AN:$AN,MarketProfile!A477,Data!$AS:$AS,"1")/1000</f>
        <v>4560405.6340299994</v>
      </c>
      <c r="E477" s="400"/>
      <c r="F477" s="179">
        <f t="shared" si="46"/>
        <v>9.3695412955493496E-2</v>
      </c>
      <c r="G477" s="400">
        <f>SUMIFS(Data!$BC:$BC,Data!$BB:$BB,MarketProfile!A477,Data!BG:BG,"1")/1000</f>
        <v>6583007.58158</v>
      </c>
      <c r="H477" s="400"/>
      <c r="I477" s="179">
        <f t="shared" si="47"/>
        <v>-0.2423379950053326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12388317.84865999</v>
      </c>
      <c r="D478" s="400">
        <f>SUMIFS(Data!$AO:$AO,Data!$AN:$AN,MarketProfile!A478,Data!$AS:$AS,"1")/1000</f>
        <v>14146523.31593</v>
      </c>
      <c r="E478" s="400"/>
      <c r="F478" s="179">
        <f t="shared" si="46"/>
        <v>-0.12428534050413248</v>
      </c>
      <c r="G478" s="400">
        <f>SUMIFS(Data!$BC:$BC,Data!$BB:$BB,MarketProfile!A478,Data!BG:BG,"1")/1000</f>
        <v>7615322.5743199997</v>
      </c>
      <c r="H478" s="400"/>
      <c r="I478" s="179">
        <f t="shared" si="47"/>
        <v>0.62676206132557544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51902.260036</v>
      </c>
      <c r="D479" s="400">
        <f>SUMIFS(Data!$AO:$AO,Data!$AN:$AN,MarketProfile!A479,Data!$AS:$AS,"1")/1000</f>
        <v>58963.363105999997</v>
      </c>
      <c r="E479" s="400"/>
      <c r="F479" s="179">
        <f t="shared" si="46"/>
        <v>-0.1197540760574675</v>
      </c>
      <c r="G479" s="400">
        <f>SUMIFS(Data!$BC:$BC,Data!$BB:$BB,MarketProfile!A479,Data!BG:BG,"1")/1000</f>
        <v>1300.1600000000001</v>
      </c>
      <c r="H479" s="400"/>
      <c r="I479" s="179">
        <f t="shared" si="47"/>
        <v>38.919902193576171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2856569.9482</v>
      </c>
      <c r="D480" s="400">
        <f>SUMIFS(Data!$AO:$AO,Data!$AN:$AN,MarketProfile!A480,Data!$AS:$AS,"1")/1000</f>
        <v>4202175.3088199999</v>
      </c>
      <c r="E480" s="400"/>
      <c r="F480" s="179">
        <f t="shared" si="46"/>
        <v>-0.32021637883495518</v>
      </c>
      <c r="G480" s="400">
        <f>SUMIFS(Data!$BC:$BC,Data!$BB:$BB,MarketProfile!A480,Data!BG:BG,"1")/1000</f>
        <v>4466843.9271299997</v>
      </c>
      <c r="H480" s="400"/>
      <c r="I480" s="179">
        <f t="shared" si="47"/>
        <v>-0.36049479346027202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26718359.010829989</v>
      </c>
      <c r="D481" s="400">
        <f>SUMIFS(Data!$AO:$AO,Data!$AN:$AN,MarketProfile!A481,Data!$AS:$AS,"1")/1000</f>
        <v>28658597.713739991</v>
      </c>
      <c r="E481" s="400"/>
      <c r="F481" s="179">
        <f t="shared" si="46"/>
        <v>-6.7701801821928642E-2</v>
      </c>
      <c r="G481" s="400">
        <f>SUMIFS(Data!$BC:$BC,Data!$BB:$BB,MarketProfile!A481,Data!BG:BG,"1")/1000</f>
        <v>19487187.070319988</v>
      </c>
      <c r="H481" s="400"/>
      <c r="I481" s="179">
        <f t="shared" si="47"/>
        <v>0.37107315254973133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3589.9899909999999</v>
      </c>
      <c r="D482" s="400">
        <f>SUMIFS(Data!$AO:$AO,Data!$AN:$AN,MarketProfile!A482,Data!$AS:$AS,"1")/1000</f>
        <v>22558.261984000001</v>
      </c>
      <c r="E482" s="400"/>
      <c r="F482" s="179">
        <f t="shared" si="46"/>
        <v>-0.84085697765429412</v>
      </c>
      <c r="G482" s="400">
        <f>SUMIFS(Data!$BC:$BC,Data!$BB:$BB,MarketProfile!A482,Data!BG:BG,"1")/1000</f>
        <v>23153.930053</v>
      </c>
      <c r="H482" s="400"/>
      <c r="I482" s="179">
        <f t="shared" si="47"/>
        <v>-0.84495116022280403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808.84</v>
      </c>
      <c r="D483" s="400">
        <f>SUMIFS(Data!$AO:$AO,Data!$AN:$AN,MarketProfile!A483,Data!$AS:$AS,"1")/1000</f>
        <v>5166.54</v>
      </c>
      <c r="E483" s="400"/>
      <c r="F483" s="179">
        <f t="shared" si="46"/>
        <v>-0.84344648449445858</v>
      </c>
      <c r="G483" s="400">
        <f>SUMIFS(Data!$BC:$BC,Data!$BB:$BB,MarketProfile!A483,Data!BG:BG,"1")/1000</f>
        <v>0</v>
      </c>
      <c r="H483" s="400"/>
      <c r="I483" s="179">
        <f t="shared" si="47"/>
        <v>1</v>
      </c>
    </row>
    <row r="484" spans="1:9" x14ac:dyDescent="0.2">
      <c r="A484" s="246" t="s">
        <v>187</v>
      </c>
      <c r="B484" s="247"/>
      <c r="C484" s="4">
        <f>SUM(C476:C483)</f>
        <v>49584141.142271981</v>
      </c>
      <c r="D484" s="401">
        <f>SUM(D476:E483)</f>
        <v>54682019.107769988</v>
      </c>
      <c r="E484" s="401">
        <f>SUM(E476:E483)</f>
        <v>0</v>
      </c>
      <c r="F484" s="166">
        <f t="shared" si="46"/>
        <v>-9.3227683408157652E-2</v>
      </c>
      <c r="G484" s="401">
        <f>SUM(G476:H483)</f>
        <v>41210059.725362994</v>
      </c>
      <c r="H484" s="401">
        <f>SUM(H476:H483)</f>
        <v>0</v>
      </c>
      <c r="I484" s="166">
        <f t="shared" si="47"/>
        <v>0.20320478719799343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400">
        <f>SUMIFS(Data!$AO:$AO,Data!$AN:$AN,MarketProfile!A486,Data!$AS:$AS,"0")/1000</f>
        <v>0</v>
      </c>
      <c r="E486" s="400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400">
        <f>SUMIFS(Data!$BC:$BC,Data!$BB:$BB,MarketProfile!A486,Data!BG:BG,"0")/1000</f>
        <v>139.5675</v>
      </c>
      <c r="H486" s="400"/>
      <c r="I486" s="179">
        <f t="shared" ref="I486:I494" si="49">IFERROR(IF(OR(AND(G486="",C486=""),AND(G486=0,C486=0)),"",
IF(OR(G486="",G486=0),1,
IF(OR(G486&lt;&gt;"",G486&lt;&gt;0),(C486-G486)/ABS(G486)))),-1)</f>
        <v>-1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4129.4872000000005</v>
      </c>
      <c r="D487" s="400">
        <f>SUMIFS(Data!$AO:$AO,Data!$AN:$AN,MarketProfile!A487,Data!$AS:$AS,"0")/1000</f>
        <v>16186.830980000001</v>
      </c>
      <c r="E487" s="400"/>
      <c r="F487" s="179">
        <f t="shared" si="48"/>
        <v>-0.74488599991546944</v>
      </c>
      <c r="G487" s="400">
        <f>SUMIFS(Data!$BC:$BC,Data!$BB:$BB,MarketProfile!A487,Data!BG:BG,"0")/1000</f>
        <v>20039.982949999998</v>
      </c>
      <c r="H487" s="400"/>
      <c r="I487" s="179">
        <f t="shared" si="49"/>
        <v>-0.79393758915348778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167399.56041999999</v>
      </c>
      <c r="D488" s="400">
        <f>SUMIFS(Data!$AO:$AO,Data!$AN:$AN,MarketProfile!A488,Data!$AS:$AS,"0")/1000</f>
        <v>146116.80524000002</v>
      </c>
      <c r="E488" s="400"/>
      <c r="F488" s="179">
        <f t="shared" si="48"/>
        <v>0.14565576591304877</v>
      </c>
      <c r="G488" s="400">
        <f>SUMIFS(Data!$BC:$BC,Data!$BB:$BB,MarketProfile!A488,Data!BG:BG,"0")/1000</f>
        <v>68752.486269999994</v>
      </c>
      <c r="H488" s="400"/>
      <c r="I488" s="179">
        <f t="shared" si="49"/>
        <v>1.4348146445584535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400">
        <f>SUMIFS(Data!$AO:$AO,Data!$AN:$AN,MarketProfile!A489,Data!$AS:$AS,"0")/1000</f>
        <v>0</v>
      </c>
      <c r="E489" s="400"/>
      <c r="F489" s="179" t="str">
        <f t="shared" si="48"/>
        <v/>
      </c>
      <c r="G489" s="400">
        <f>SUMIFS(Data!$BC:$BC,Data!$BB:$BB,MarketProfile!A489,Data!BG:BG,"0")/1000</f>
        <v>0</v>
      </c>
      <c r="H489" s="400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4700.7476999999999</v>
      </c>
      <c r="D490" s="400">
        <f>SUMIFS(Data!$AO:$AO,Data!$AN:$AN,MarketProfile!A490,Data!$AS:$AS,"0")/1000</f>
        <v>29741.782010000003</v>
      </c>
      <c r="E490" s="400"/>
      <c r="F490" s="179">
        <f t="shared" si="48"/>
        <v>-0.84194801446599665</v>
      </c>
      <c r="G490" s="400">
        <f>SUMIFS(Data!$BC:$BC,Data!$BB:$BB,MarketProfile!A490,Data!BG:BG,"0")/1000</f>
        <v>15468.385550000001</v>
      </c>
      <c r="H490" s="400"/>
      <c r="I490" s="179">
        <f t="shared" si="49"/>
        <v>-0.69610612013740503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1544587.24069999</v>
      </c>
      <c r="D491" s="400">
        <f>SUMIFS(Data!$AO:$AO,Data!$AN:$AN,MarketProfile!A491,Data!$AS:$AS,"0")/1000</f>
        <v>1284075.24116</v>
      </c>
      <c r="E491" s="400"/>
      <c r="F491" s="179">
        <f>IFERROR(IF(OR(AND(D491="",C491=""),AND(D491=0,C491=0)),"",
IF(OR(D491="",D491=0),1,
IF(OR(D491&lt;&gt;"",D491&lt;&gt;0),(C491-D491)/ABS(D491)))),-1)</f>
        <v>0.20287907685584705</v>
      </c>
      <c r="G491" s="400">
        <f>SUMIFS(Data!$BC:$BC,Data!$BB:$BB,MarketProfile!A491,Data!BG:BG,"0")/1000</f>
        <v>188864.10515000002</v>
      </c>
      <c r="H491" s="400"/>
      <c r="I491" s="179">
        <f t="shared" si="49"/>
        <v>7.1782996269897072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400">
        <f>SUMIFS(Data!$AO:$AO,Data!$AN:$AN,MarketProfile!A492,Data!$AS:$AS,"0")/1000</f>
        <v>649.70000000000005</v>
      </c>
      <c r="E492" s="400"/>
      <c r="F492" s="179">
        <f t="shared" si="48"/>
        <v>-1</v>
      </c>
      <c r="G492" s="400">
        <f>SUMIFS(Data!$BC:$BC,Data!$BB:$BB,MarketProfile!A492,Data!BG:BG,"0")/1000</f>
        <v>0</v>
      </c>
      <c r="H492" s="400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400">
        <f>SUMIFS(Data!$AO:$AO,Data!$AN:$AN,MarketProfile!A493,Data!$AS:$AS,"0")/1000</f>
        <v>0</v>
      </c>
      <c r="E493" s="400"/>
      <c r="F493" s="179" t="str">
        <f t="shared" si="48"/>
        <v/>
      </c>
      <c r="G493" s="400">
        <f>SUMIFS(Data!$BC:$BC,Data!$BB:$BB,MarketProfile!A493,Data!BG:BG,"0")/1000</f>
        <v>0</v>
      </c>
      <c r="H493" s="400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1720817.03601999</v>
      </c>
      <c r="D494" s="401">
        <f>SUM(D486:E493)</f>
        <v>1476770.3593899999</v>
      </c>
      <c r="E494" s="401">
        <f>SUM(E486:E493)</f>
        <v>0</v>
      </c>
      <c r="F494" s="166">
        <f t="shared" si="48"/>
        <v>0.16525702529051092</v>
      </c>
      <c r="G494" s="401">
        <f>SUM(G486:H493)</f>
        <v>293264.52742</v>
      </c>
      <c r="H494" s="401">
        <f>SUM(H486:H493)</f>
        <v>0</v>
      </c>
      <c r="I494" s="166">
        <f t="shared" si="49"/>
        <v>4.8677980973659141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7705</v>
      </c>
      <c r="D497" s="400">
        <f>SUMIFS(Data!$AY:$AY,Data!$AU:$AU,MarketProfile!A497,Data!$AZ:$AZ,"1")</f>
        <v>11396</v>
      </c>
      <c r="E497" s="400"/>
      <c r="F497" s="179">
        <f t="shared" ref="F497:F512" si="50">IFERROR(IF(OR(AND(D497="",C497=""),AND(D497=0,C497=0)),"",
IF(OR(D497="",D497=0),1,
IF(OR(D497&lt;&gt;"",D497&lt;&gt;0),(C497-D497)/ABS(D497)))),-1)</f>
        <v>-0.32388557388557387</v>
      </c>
      <c r="G497" s="400">
        <f>SUMIFS(Data!$BL:$BL,Data!$BH:$BH,MarketProfile!A497,Data!$BM:$BM,"1")</f>
        <v>15463</v>
      </c>
      <c r="H497" s="400"/>
      <c r="I497" s="179">
        <f t="shared" ref="I497:I504" si="51">IFERROR(IF(OR(AND(G497="",C497=""),AND(G497=0,C497=0)),"",
IF(OR(G497="",G497=0),1,
IF(OR(G497&lt;&gt;"",G497&lt;&gt;0),(C497-G497)/ABS(G497)))),-1)</f>
        <v>-0.5017137683502555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11789</v>
      </c>
      <c r="D498" s="400">
        <f>SUMIFS(Data!$AY:$AY,Data!$AU:$AU,MarketProfile!A498,Data!$AZ:$AZ,"1")</f>
        <v>14207</v>
      </c>
      <c r="E498" s="400"/>
      <c r="F498" s="179">
        <f t="shared" si="50"/>
        <v>-0.17019778982191877</v>
      </c>
      <c r="G498" s="400">
        <f>SUMIFS(Data!$BL:$BL,Data!$BH:$BH,MarketProfile!A498,Data!$BM:$BM,"1")</f>
        <v>14079</v>
      </c>
      <c r="H498" s="400"/>
      <c r="I498" s="179">
        <f t="shared" si="51"/>
        <v>-0.16265359755664466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22895</v>
      </c>
      <c r="D499" s="400">
        <f>SUMIFS(Data!$AY:$AY,Data!$AU:$AU,MarketProfile!A499,Data!$AZ:$AZ,"1")</f>
        <v>26032</v>
      </c>
      <c r="E499" s="400"/>
      <c r="F499" s="179">
        <f t="shared" si="50"/>
        <v>-0.12050553165334972</v>
      </c>
      <c r="G499" s="400">
        <f>SUMIFS(Data!$BL:$BL,Data!$BH:$BH,MarketProfile!A499,Data!$BM:$BM,"1")</f>
        <v>21080</v>
      </c>
      <c r="H499" s="400"/>
      <c r="I499" s="179">
        <f t="shared" si="51"/>
        <v>8.6100569259962054E-2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692</v>
      </c>
      <c r="D500" s="400">
        <f>SUMIFS(Data!$AY:$AY,Data!$AU:$AU,MarketProfile!A500,Data!$AZ:$AZ,"1")</f>
        <v>559</v>
      </c>
      <c r="E500" s="400"/>
      <c r="F500" s="179">
        <f t="shared" si="50"/>
        <v>0.23792486583184258</v>
      </c>
      <c r="G500" s="400">
        <f>SUMIFS(Data!$BL:$BL,Data!$BH:$BH,MarketProfile!A500,Data!$BM:$BM,"1")</f>
        <v>22</v>
      </c>
      <c r="H500" s="400"/>
      <c r="I500" s="179">
        <f t="shared" si="51"/>
        <v>30.454545454545453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3911</v>
      </c>
      <c r="D501" s="400">
        <f>SUMIFS(Data!$AY:$AY,Data!$AU:$AU,MarketProfile!A501,Data!$AZ:$AZ,"1")</f>
        <v>4447</v>
      </c>
      <c r="E501" s="400"/>
      <c r="F501" s="179">
        <f t="shared" si="50"/>
        <v>-0.12053069485046099</v>
      </c>
      <c r="G501" s="400">
        <f>SUMIFS(Data!$BL:$BL,Data!$BH:$BH,MarketProfile!A501,Data!$BM:$BM,"1")</f>
        <v>7522</v>
      </c>
      <c r="H501" s="400"/>
      <c r="I501" s="179">
        <f t="shared" si="51"/>
        <v>-0.48005849508109544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27242</v>
      </c>
      <c r="D502" s="400">
        <f>SUMIFS(Data!$AY:$AY,Data!$AU:$AU,MarketProfile!A502,Data!$AZ:$AZ,"1")</f>
        <v>29559</v>
      </c>
      <c r="E502" s="400"/>
      <c r="F502" s="179">
        <f t="shared" si="50"/>
        <v>-7.8385601677999933E-2</v>
      </c>
      <c r="G502" s="400">
        <f>SUMIFS(Data!$BL:$BL,Data!$BH:$BH,MarketProfile!A502,Data!$BM:$BM,"1")</f>
        <v>36716</v>
      </c>
      <c r="H502" s="400"/>
      <c r="I502" s="179">
        <f t="shared" si="51"/>
        <v>-0.25803464429676437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129</v>
      </c>
      <c r="D503" s="400">
        <f>SUMIFS(Data!$AY:$AY,Data!$AU:$AU,MarketProfile!A503,Data!$AZ:$AZ,"1")</f>
        <v>145</v>
      </c>
      <c r="E503" s="400"/>
      <c r="F503" s="179">
        <f t="shared" si="50"/>
        <v>-0.1103448275862069</v>
      </c>
      <c r="G503" s="400">
        <f>SUMIFS(Data!$BL:$BL,Data!$BH:$BH,MarketProfile!A503,Data!$BM:$BM,"1")</f>
        <v>207</v>
      </c>
      <c r="H503" s="400"/>
      <c r="I503" s="179">
        <f t="shared" si="51"/>
        <v>-0.37681159420289856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17</v>
      </c>
      <c r="D504" s="400">
        <f>SUMIFS(Data!$AY:$AY,Data!$AU:$AU,MarketProfile!A504,Data!$AZ:$AZ,"1")</f>
        <v>28</v>
      </c>
      <c r="E504" s="400"/>
      <c r="F504" s="179">
        <f t="shared" si="50"/>
        <v>-0.39285714285714285</v>
      </c>
      <c r="G504" s="400">
        <f>SUMIFS(Data!$BL:$BL,Data!$BH:$BH,MarketProfile!A504,Data!$BM:$BM,"1")</f>
        <v>6</v>
      </c>
      <c r="H504" s="400"/>
      <c r="I504" s="179">
        <f t="shared" si="51"/>
        <v>1.8333333333333333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400">
        <f>SUMIFS(Data!$AY:$AY,Data!$AU:$AU,MarketProfile!A506,Data!$AZ:$AZ,"0")</f>
        <v>0</v>
      </c>
      <c r="E506" s="400"/>
      <c r="F506" s="179" t="str">
        <f t="shared" si="50"/>
        <v/>
      </c>
      <c r="G506" s="400">
        <f>SUMIFS(Data!$BL:$BL,Data!$BH:$BH,MarketProfile!A506,Data!$BM:$BM,"0")</f>
        <v>300</v>
      </c>
      <c r="H506" s="400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3233</v>
      </c>
      <c r="D507" s="400">
        <f>SUMIFS(Data!$AY:$AY,Data!$AU:$AU,MarketProfile!A507,Data!$AZ:$AZ,"0")</f>
        <v>2735</v>
      </c>
      <c r="E507" s="400"/>
      <c r="F507" s="179">
        <f t="shared" si="50"/>
        <v>0.18208409506398537</v>
      </c>
      <c r="G507" s="400">
        <f>SUMIFS(Data!$BL:$BL,Data!$BH:$BH,MarketProfile!A507,Data!$BM:$BM,"0")</f>
        <v>3807</v>
      </c>
      <c r="H507" s="400"/>
      <c r="I507" s="179">
        <f t="shared" si="52"/>
        <v>-0.15077488836354083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21167</v>
      </c>
      <c r="D508" s="400">
        <f>SUMIFS(Data!$AY:$AY,Data!$AU:$AU,MarketProfile!A508,Data!$AZ:$AZ,"0")</f>
        <v>16623</v>
      </c>
      <c r="E508" s="400"/>
      <c r="F508" s="179">
        <f t="shared" si="50"/>
        <v>0.27335619322625276</v>
      </c>
      <c r="G508" s="400">
        <f>SUMIFS(Data!$BL:$BL,Data!$BH:$BH,MarketProfile!A508,Data!$BM:$BM,"0")</f>
        <v>13118</v>
      </c>
      <c r="H508" s="400"/>
      <c r="I508" s="179">
        <f t="shared" si="52"/>
        <v>0.61358438786400371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400">
        <f>SUMIFS(Data!$AY:$AY,Data!$AU:$AU,MarketProfile!A509,Data!$AZ:$AZ,"0")</f>
        <v>0</v>
      </c>
      <c r="E509" s="400"/>
      <c r="F509" s="179" t="str">
        <f t="shared" si="50"/>
        <v/>
      </c>
      <c r="G509" s="400">
        <f>SUMIFS(Data!$BL:$BL,Data!$BH:$BH,MarketProfile!A509,Data!$BM:$BM,"0")</f>
        <v>0</v>
      </c>
      <c r="H509" s="400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1708</v>
      </c>
      <c r="D510" s="400">
        <f>SUMIFS(Data!$AY:$AY,Data!$AU:$AU,MarketProfile!A510,Data!$AZ:$AZ,"0")</f>
        <v>1557</v>
      </c>
      <c r="E510" s="400"/>
      <c r="F510" s="179">
        <f t="shared" si="50"/>
        <v>9.6981374438021836E-2</v>
      </c>
      <c r="G510" s="400">
        <f>SUMIFS(Data!$BL:$BL,Data!$BH:$BH,MarketProfile!A510,Data!$BM:$BM,"0")</f>
        <v>4247</v>
      </c>
      <c r="H510" s="400"/>
      <c r="I510" s="179">
        <f t="shared" si="52"/>
        <v>-0.59783376501059571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55078</v>
      </c>
      <c r="D511" s="400">
        <f>SUMIFS(Data!$AY:$AY,Data!$AU:$AU,MarketProfile!A511,Data!$AZ:$AZ,"0")</f>
        <v>47050</v>
      </c>
      <c r="E511" s="400"/>
      <c r="F511" s="179">
        <f t="shared" si="50"/>
        <v>0.1706269925611052</v>
      </c>
      <c r="G511" s="400">
        <f>SUMIFS(Data!$BL:$BL,Data!$BH:$BH,MarketProfile!A511,Data!$BM:$BM,"0")</f>
        <v>40098</v>
      </c>
      <c r="H511" s="400"/>
      <c r="I511" s="179">
        <f t="shared" si="52"/>
        <v>0.37358471744226646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20</v>
      </c>
      <c r="D512" s="400">
        <f>SUMIFS(Data!$AY:$AY,Data!$AU:$AU,MarketProfile!A512,Data!$AZ:$AZ,"0")</f>
        <v>20</v>
      </c>
      <c r="E512" s="400"/>
      <c r="F512" s="179">
        <f t="shared" si="50"/>
        <v>0</v>
      </c>
      <c r="G512" s="400">
        <f>SUMIFS(Data!$BL:$BL,Data!$BH:$BH,MarketProfile!A512,Data!$BM:$BM,"0")</f>
        <v>50</v>
      </c>
      <c r="H512" s="400"/>
      <c r="I512" s="179">
        <f t="shared" si="52"/>
        <v>-0.6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400">
        <f>SUMIFS(Data!$AY:$AY,Data!$AU:$AU,MarketProfile!A513,Data!$AZ:$AZ,"0")</f>
        <v>0</v>
      </c>
      <c r="E513" s="400"/>
      <c r="F513" s="179" t="str">
        <f t="shared" ref="F513" si="53">IFERROR(IF(OR(AND(C513="",D513=""),AND(C513=0,D513=0)),"",
IF(OR(C513="",C513=0),1,
IF(OR(C513&lt;&gt;"",C513&lt;&gt;0),(D513-C513)/ABS(C513)))),-1)</f>
        <v/>
      </c>
      <c r="G513" s="400">
        <f>SUMIFS(Data!$BL:$BL,Data!$BH:$BH,MarketProfile!A513,Data!$BM:$BM,"0")</f>
        <v>0</v>
      </c>
      <c r="H513" s="400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5" max="16383" man="1"/>
    <brk id="169" max="16383" man="1"/>
    <brk id="251" max="16383" man="1"/>
    <brk id="330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620</v>
      </c>
      <c r="BU1" s="266" t="s">
        <v>621</v>
      </c>
      <c r="BV1" s="266" t="s">
        <v>622</v>
      </c>
      <c r="BW1" s="266" t="s">
        <v>623</v>
      </c>
      <c r="BX1" s="266" t="s">
        <v>624</v>
      </c>
      <c r="BY1" s="266" t="s">
        <v>625</v>
      </c>
      <c r="BZ1" s="266" t="s">
        <v>626</v>
      </c>
      <c r="CA1" s="266" t="s">
        <v>627</v>
      </c>
      <c r="CB1" s="266" t="s">
        <v>628</v>
      </c>
      <c r="CC1" s="267" t="s">
        <v>502</v>
      </c>
      <c r="CD1" s="268" t="s">
        <v>633</v>
      </c>
      <c r="CE1" s="268" t="s">
        <v>634</v>
      </c>
      <c r="CF1" s="267" t="s">
        <v>507</v>
      </c>
      <c r="CG1" s="266" t="s">
        <v>6</v>
      </c>
      <c r="CH1" s="266" t="s">
        <v>635</v>
      </c>
      <c r="CI1" s="267" t="s">
        <v>509</v>
      </c>
      <c r="CJ1" s="247" t="s">
        <v>117</v>
      </c>
      <c r="CK1" s="247">
        <v>19395</v>
      </c>
      <c r="CL1" s="267" t="s">
        <v>512</v>
      </c>
      <c r="CM1" s="247" t="s">
        <v>117</v>
      </c>
      <c r="CN1" s="247">
        <v>14435</v>
      </c>
      <c r="CO1" s="267" t="s">
        <v>515</v>
      </c>
      <c r="CP1" s="247" t="s">
        <v>117</v>
      </c>
      <c r="CQ1" s="247">
        <v>730</v>
      </c>
      <c r="CR1" s="267" t="s">
        <v>518</v>
      </c>
      <c r="CS1" s="276" t="s">
        <v>639</v>
      </c>
      <c r="CT1" s="275" t="s">
        <v>640</v>
      </c>
      <c r="CU1" s="275" t="s">
        <v>641</v>
      </c>
      <c r="CV1" s="275" t="s">
        <v>642</v>
      </c>
      <c r="CW1" s="275" t="s">
        <v>643</v>
      </c>
      <c r="CX1" s="275" t="s">
        <v>644</v>
      </c>
      <c r="CY1" s="275" t="s">
        <v>645</v>
      </c>
      <c r="CZ1" s="275" t="s">
        <v>646</v>
      </c>
      <c r="DA1" s="275" t="s">
        <v>647</v>
      </c>
      <c r="DB1" s="275" t="s">
        <v>648</v>
      </c>
      <c r="DC1" s="275" t="s">
        <v>649</v>
      </c>
      <c r="DD1" s="275" t="s">
        <v>650</v>
      </c>
      <c r="DF1" s="356" t="s">
        <v>529</v>
      </c>
      <c r="DG1" s="347" t="s">
        <v>659</v>
      </c>
      <c r="DH1" s="347" t="s">
        <v>660</v>
      </c>
      <c r="DI1" s="356" t="s">
        <v>530</v>
      </c>
      <c r="DJ1" s="354" t="s">
        <v>659</v>
      </c>
      <c r="DK1" s="354" t="s">
        <v>660</v>
      </c>
      <c r="DL1" s="356" t="s">
        <v>531</v>
      </c>
      <c r="DM1" s="349" t="s">
        <v>659</v>
      </c>
      <c r="DN1" s="349" t="s">
        <v>660</v>
      </c>
    </row>
    <row r="2" spans="1:118" x14ac:dyDescent="0.2">
      <c r="B2" s="188">
        <v>5668131884</v>
      </c>
      <c r="C2" s="188">
        <v>369109822540.6004</v>
      </c>
      <c r="D2" s="188">
        <v>5728480</v>
      </c>
      <c r="E2" s="209"/>
      <c r="F2" s="211">
        <v>1096</v>
      </c>
      <c r="G2" s="211">
        <v>449580674</v>
      </c>
      <c r="H2" s="211">
        <v>17590801236.91037</v>
      </c>
      <c r="J2" s="152" t="str">
        <f>K2&amp;L2</f>
        <v>ABuy</v>
      </c>
      <c r="K2" s="234" t="s">
        <v>542</v>
      </c>
      <c r="L2" s="234" t="s">
        <v>543</v>
      </c>
      <c r="M2" s="238">
        <v>134066474859.71478</v>
      </c>
      <c r="O2" s="241">
        <v>73159195169.850006</v>
      </c>
      <c r="P2" s="241">
        <v>-88099448950.399994</v>
      </c>
      <c r="Q2" s="241">
        <v>-14940253780.549999</v>
      </c>
      <c r="S2" s="253" t="s">
        <v>451</v>
      </c>
      <c r="T2" s="258">
        <v>77720286.939999998</v>
      </c>
      <c r="U2" s="258">
        <v>166009</v>
      </c>
      <c r="V2" s="258">
        <v>23</v>
      </c>
      <c r="W2" s="258">
        <v>453485</v>
      </c>
      <c r="X2" s="258">
        <v>0</v>
      </c>
      <c r="Y2" s="245"/>
      <c r="Z2" s="253" t="s">
        <v>571</v>
      </c>
      <c r="AA2" s="253">
        <v>4520493.0999999996</v>
      </c>
      <c r="AB2" s="253">
        <v>1142</v>
      </c>
      <c r="AC2" s="253">
        <v>33</v>
      </c>
      <c r="AD2" s="253">
        <v>75824</v>
      </c>
      <c r="AE2" s="253">
        <v>0</v>
      </c>
      <c r="AF2" s="253"/>
      <c r="AG2" s="253" t="s">
        <v>571</v>
      </c>
      <c r="AH2" s="253">
        <v>415440</v>
      </c>
      <c r="AI2" s="253">
        <v>80</v>
      </c>
      <c r="AJ2" s="253">
        <v>2</v>
      </c>
      <c r="AK2" s="253">
        <v>3913</v>
      </c>
      <c r="AL2" s="253">
        <v>0</v>
      </c>
      <c r="AM2" s="245"/>
      <c r="AN2" s="253" t="s">
        <v>571</v>
      </c>
      <c r="AO2" s="253">
        <v>5099427.7</v>
      </c>
      <c r="AP2" s="253">
        <v>1858</v>
      </c>
      <c r="AQ2" s="253">
        <v>40</v>
      </c>
      <c r="AR2" s="253">
        <v>53173</v>
      </c>
      <c r="AS2" s="253">
        <v>0</v>
      </c>
      <c r="AT2" s="245"/>
      <c r="AU2" s="253" t="s">
        <v>571</v>
      </c>
      <c r="AV2" s="253">
        <v>16945</v>
      </c>
      <c r="AW2" s="253">
        <v>20</v>
      </c>
      <c r="AX2" s="253">
        <v>2</v>
      </c>
      <c r="AY2" s="253">
        <v>3191</v>
      </c>
      <c r="AZ2" s="253">
        <v>0</v>
      </c>
      <c r="BA2" s="245"/>
      <c r="BB2" s="253" t="s">
        <v>571</v>
      </c>
      <c r="BC2" s="253">
        <v>4735883.0999999996</v>
      </c>
      <c r="BD2" s="253">
        <v>982</v>
      </c>
      <c r="BE2" s="253">
        <v>55</v>
      </c>
      <c r="BF2" s="253">
        <v>13780</v>
      </c>
      <c r="BG2" s="253">
        <v>0</v>
      </c>
      <c r="BH2" s="247" t="s">
        <v>571</v>
      </c>
      <c r="BI2" s="253">
        <v>0</v>
      </c>
      <c r="BJ2" s="253">
        <v>0</v>
      </c>
      <c r="BK2" s="253">
        <v>0</v>
      </c>
      <c r="BL2" s="253">
        <v>667</v>
      </c>
      <c r="BM2" s="253">
        <v>0</v>
      </c>
      <c r="BN2" s="253"/>
      <c r="BO2" s="245"/>
      <c r="BP2" s="263">
        <v>289710183112.37592</v>
      </c>
      <c r="BQ2" s="263">
        <v>2687226</v>
      </c>
      <c r="BR2" s="263">
        <v>270668</v>
      </c>
      <c r="BS2" s="245"/>
      <c r="BT2" s="265" t="s">
        <v>139</v>
      </c>
      <c r="BU2" s="265">
        <v>46</v>
      </c>
      <c r="BV2" s="265">
        <v>0</v>
      </c>
      <c r="BW2" s="265">
        <v>0</v>
      </c>
      <c r="BX2" s="265">
        <v>0</v>
      </c>
      <c r="BY2" s="265">
        <v>0</v>
      </c>
      <c r="BZ2" s="265">
        <v>46</v>
      </c>
      <c r="CA2" s="265">
        <v>36</v>
      </c>
      <c r="CB2" s="265">
        <v>10</v>
      </c>
      <c r="CC2" s="245"/>
      <c r="CD2" s="269">
        <v>908</v>
      </c>
      <c r="CE2" s="269">
        <v>12964438110321.99</v>
      </c>
      <c r="CF2" s="245"/>
      <c r="CG2" s="265">
        <v>2019</v>
      </c>
      <c r="CH2" s="265">
        <v>22</v>
      </c>
      <c r="CI2" s="245"/>
      <c r="CJ2" s="247" t="s">
        <v>637</v>
      </c>
      <c r="CK2" s="247">
        <v>615469247240</v>
      </c>
      <c r="CL2" s="247"/>
      <c r="CM2" s="247" t="s">
        <v>637</v>
      </c>
      <c r="CN2" s="247">
        <v>1964349672649</v>
      </c>
      <c r="CO2" s="247"/>
      <c r="CP2" s="247" t="s">
        <v>637</v>
      </c>
      <c r="CQ2" s="247">
        <v>50074855540</v>
      </c>
      <c r="CR2" s="245"/>
      <c r="CS2" s="277">
        <v>2019</v>
      </c>
      <c r="CT2" s="275">
        <v>17</v>
      </c>
      <c r="CU2" s="275" t="s">
        <v>651</v>
      </c>
      <c r="CV2" s="275">
        <v>0</v>
      </c>
      <c r="CW2" s="275">
        <v>1673947830</v>
      </c>
      <c r="CX2" s="275">
        <v>328</v>
      </c>
      <c r="CY2" s="275">
        <v>0</v>
      </c>
      <c r="CZ2" s="275">
        <v>13671370172</v>
      </c>
      <c r="DA2" s="275">
        <v>181</v>
      </c>
      <c r="DB2" s="275">
        <v>0</v>
      </c>
      <c r="DC2" s="275">
        <v>11997422342</v>
      </c>
      <c r="DD2" s="275">
        <v>147</v>
      </c>
      <c r="DG2" s="348" t="s">
        <v>661</v>
      </c>
      <c r="DH2" s="346">
        <v>299999994</v>
      </c>
      <c r="DJ2" s="352" t="s">
        <v>661</v>
      </c>
      <c r="DK2" s="350">
        <v>299999994</v>
      </c>
      <c r="DM2" s="351" t="s">
        <v>665</v>
      </c>
      <c r="DN2" s="353">
        <v>2035431090.6900001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235043347680.88556</v>
      </c>
      <c r="N3" s="136"/>
      <c r="O3" s="239"/>
      <c r="P3" s="239"/>
      <c r="Q3" s="239"/>
      <c r="S3" s="253" t="s">
        <v>448</v>
      </c>
      <c r="T3" s="258">
        <v>0</v>
      </c>
      <c r="U3" s="258">
        <v>0</v>
      </c>
      <c r="V3" s="258">
        <v>0</v>
      </c>
      <c r="W3" s="258">
        <v>0</v>
      </c>
      <c r="X3" s="258">
        <v>0</v>
      </c>
      <c r="Y3" s="245"/>
      <c r="Z3" s="253" t="s">
        <v>572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572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572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572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613</v>
      </c>
      <c r="BC3" s="253">
        <v>0</v>
      </c>
      <c r="BD3" s="253">
        <v>0</v>
      </c>
      <c r="BE3" s="253">
        <v>0</v>
      </c>
      <c r="BF3" s="253">
        <v>0</v>
      </c>
      <c r="BG3" s="253">
        <v>0</v>
      </c>
      <c r="BH3" s="247" t="s">
        <v>613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629</v>
      </c>
      <c r="BU3" s="265">
        <v>1</v>
      </c>
      <c r="BV3" s="265">
        <v>0</v>
      </c>
      <c r="BW3" s="265">
        <v>0</v>
      </c>
      <c r="BX3" s="265">
        <v>0</v>
      </c>
      <c r="BY3" s="265">
        <v>0</v>
      </c>
      <c r="BZ3" s="265">
        <v>1</v>
      </c>
      <c r="CA3" s="265">
        <v>1</v>
      </c>
      <c r="CB3" s="265">
        <v>0</v>
      </c>
      <c r="CC3" s="245"/>
      <c r="CD3" s="245"/>
      <c r="CE3" s="245"/>
      <c r="CF3" s="245"/>
      <c r="CG3" s="265">
        <v>2018</v>
      </c>
      <c r="CH3" s="265">
        <v>22</v>
      </c>
      <c r="CI3" s="245"/>
      <c r="CJ3" s="247" t="s">
        <v>638</v>
      </c>
      <c r="CK3" s="247">
        <v>622765752186.93005</v>
      </c>
      <c r="CL3" s="247"/>
      <c r="CM3" s="247" t="s">
        <v>638</v>
      </c>
      <c r="CN3" s="247">
        <v>1882015890891.3311</v>
      </c>
      <c r="CO3" s="247"/>
      <c r="CP3" s="247" t="s">
        <v>638</v>
      </c>
      <c r="CQ3" s="247">
        <v>19095838214.41</v>
      </c>
      <c r="CR3" s="245"/>
      <c r="CS3" s="277">
        <v>2019</v>
      </c>
      <c r="CT3" s="275">
        <v>23</v>
      </c>
      <c r="CU3" s="275" t="s">
        <v>652</v>
      </c>
      <c r="CV3" s="275">
        <v>89040145735.689957</v>
      </c>
      <c r="CW3" s="275">
        <v>95174831000</v>
      </c>
      <c r="CX3" s="275">
        <v>566</v>
      </c>
      <c r="CY3" s="275">
        <v>111900610373.41992</v>
      </c>
      <c r="CZ3" s="275">
        <v>117688600000</v>
      </c>
      <c r="DA3" s="275">
        <v>507</v>
      </c>
      <c r="DB3" s="275">
        <v>22860464637.73</v>
      </c>
      <c r="DC3" s="275">
        <v>22513769000</v>
      </c>
      <c r="DD3" s="275">
        <v>59</v>
      </c>
      <c r="DG3" s="348" t="s">
        <v>662</v>
      </c>
      <c r="DH3" s="346">
        <v>67000</v>
      </c>
      <c r="DJ3" s="352" t="s">
        <v>662</v>
      </c>
      <c r="DK3" s="350">
        <v>67000</v>
      </c>
      <c r="DM3" s="351" t="s">
        <v>662</v>
      </c>
      <c r="DN3" s="353">
        <v>79867257.349999994</v>
      </c>
    </row>
    <row r="4" spans="1:118" x14ac:dyDescent="0.2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144476400764.09381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2702464843.3200002</v>
      </c>
      <c r="U4" s="258">
        <v>419216</v>
      </c>
      <c r="V4" s="258">
        <v>636</v>
      </c>
      <c r="W4" s="258">
        <v>925459</v>
      </c>
      <c r="X4" s="258">
        <v>0</v>
      </c>
      <c r="Y4" s="245"/>
      <c r="Z4" s="253" t="s">
        <v>573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573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573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573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572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572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630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633</v>
      </c>
      <c r="CE4" s="270" t="s">
        <v>634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2019</v>
      </c>
      <c r="CT4" s="275">
        <v>23</v>
      </c>
      <c r="CU4" s="275" t="s">
        <v>653</v>
      </c>
      <c r="CV4" s="275">
        <v>-85521859673.319962</v>
      </c>
      <c r="CW4" s="275">
        <v>-91574131000</v>
      </c>
      <c r="CX4" s="275">
        <v>553</v>
      </c>
      <c r="CY4" s="275">
        <v>22499218512.269997</v>
      </c>
      <c r="CZ4" s="275">
        <v>22033769000</v>
      </c>
      <c r="DA4" s="275">
        <v>57</v>
      </c>
      <c r="DB4" s="275">
        <v>108021078185.58997</v>
      </c>
      <c r="DC4" s="275">
        <v>113607900000</v>
      </c>
      <c r="DD4" s="275">
        <v>496</v>
      </c>
      <c r="DG4" s="348" t="s">
        <v>663</v>
      </c>
      <c r="DH4" s="346">
        <v>1865608.8</v>
      </c>
      <c r="DJ4" s="352" t="s">
        <v>663</v>
      </c>
      <c r="DK4" s="350">
        <v>1865608.8</v>
      </c>
      <c r="DM4" s="351" t="s">
        <v>663</v>
      </c>
      <c r="DN4" s="353">
        <v>12809592.060000001</v>
      </c>
    </row>
    <row r="5" spans="1:118" x14ac:dyDescent="0.2">
      <c r="B5" s="188">
        <v>5668131884</v>
      </c>
      <c r="C5" s="188">
        <v>369109822540.6004</v>
      </c>
      <c r="D5" s="194">
        <v>5728480</v>
      </c>
      <c r="E5" s="209"/>
      <c r="F5" s="211">
        <v>1096</v>
      </c>
      <c r="G5" s="211">
        <v>449580674</v>
      </c>
      <c r="H5" s="225">
        <v>17590801236.91037</v>
      </c>
      <c r="J5" s="152" t="str">
        <f t="shared" si="0"/>
        <v>PSell</v>
      </c>
      <c r="K5" s="234" t="s">
        <v>544</v>
      </c>
      <c r="L5" s="234" t="s">
        <v>545</v>
      </c>
      <c r="M5" s="238">
        <v>224633421776.50656</v>
      </c>
      <c r="N5" s="136"/>
      <c r="O5" s="241">
        <v>73159195169.850006</v>
      </c>
      <c r="P5" s="241">
        <v>-88099448950.399994</v>
      </c>
      <c r="Q5" s="241">
        <v>-14940253780.549999</v>
      </c>
      <c r="S5" s="253" t="s">
        <v>449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574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574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574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574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573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573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4075321403.4699998</v>
      </c>
      <c r="BQ5" s="263">
        <v>994609</v>
      </c>
      <c r="BR5" s="263">
        <v>1303</v>
      </c>
      <c r="BS5" s="245"/>
      <c r="BT5" s="265" t="s">
        <v>631</v>
      </c>
      <c r="BU5" s="265">
        <v>322</v>
      </c>
      <c r="BV5" s="265">
        <v>0</v>
      </c>
      <c r="BW5" s="265">
        <v>1</v>
      </c>
      <c r="BX5" s="265">
        <v>0</v>
      </c>
      <c r="BY5" s="265">
        <v>0</v>
      </c>
      <c r="BZ5" s="265">
        <v>321</v>
      </c>
      <c r="CA5" s="265">
        <v>258</v>
      </c>
      <c r="CB5" s="265">
        <v>64</v>
      </c>
      <c r="CC5" s="245"/>
      <c r="CD5" s="271">
        <v>819</v>
      </c>
      <c r="CE5" s="271">
        <v>15444225241882.682</v>
      </c>
      <c r="CF5" s="267" t="s">
        <v>508</v>
      </c>
      <c r="CG5" s="266" t="s">
        <v>6</v>
      </c>
      <c r="CH5" s="266" t="s">
        <v>635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2019</v>
      </c>
      <c r="CT5" s="275">
        <v>56</v>
      </c>
      <c r="CU5" s="275" t="s">
        <v>654</v>
      </c>
      <c r="CV5" s="275">
        <v>-3988643269.6999984</v>
      </c>
      <c r="CW5" s="275">
        <v>-4094191669</v>
      </c>
      <c r="CX5" s="275">
        <v>466</v>
      </c>
      <c r="CY5" s="275">
        <v>6624533894.5500002</v>
      </c>
      <c r="CZ5" s="275">
        <v>6183859162</v>
      </c>
      <c r="DA5" s="275">
        <v>244</v>
      </c>
      <c r="DB5" s="275">
        <v>10613177164.250004</v>
      </c>
      <c r="DC5" s="275">
        <v>10278050831</v>
      </c>
      <c r="DD5" s="275">
        <v>222</v>
      </c>
      <c r="DG5" s="348" t="s">
        <v>664</v>
      </c>
      <c r="DH5" s="346">
        <v>45670159.68</v>
      </c>
      <c r="DJ5" s="352" t="s">
        <v>664</v>
      </c>
      <c r="DK5" s="350">
        <v>45670159.68</v>
      </c>
      <c r="DM5" s="351" t="s">
        <v>664</v>
      </c>
      <c r="DN5" s="353">
        <v>135158653.81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447</v>
      </c>
      <c r="T6" s="258">
        <v>1295136273.21</v>
      </c>
      <c r="U6" s="258">
        <v>409384</v>
      </c>
      <c r="V6" s="258">
        <v>644</v>
      </c>
      <c r="W6" s="258">
        <v>1275176</v>
      </c>
      <c r="X6" s="258">
        <v>0</v>
      </c>
      <c r="Y6" s="245"/>
      <c r="Z6" s="253" t="s">
        <v>575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575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575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575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574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574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632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2019</v>
      </c>
      <c r="CH6" s="265">
        <v>22</v>
      </c>
      <c r="CI6" s="267" t="s">
        <v>510</v>
      </c>
      <c r="CJ6" s="247" t="s">
        <v>117</v>
      </c>
      <c r="CK6" s="247">
        <v>19395</v>
      </c>
      <c r="CL6" s="267" t="s">
        <v>513</v>
      </c>
      <c r="CM6" s="247" t="s">
        <v>117</v>
      </c>
      <c r="CN6" s="247">
        <v>14435</v>
      </c>
      <c r="CO6" s="267" t="s">
        <v>516</v>
      </c>
      <c r="CP6" s="247" t="s">
        <v>117</v>
      </c>
      <c r="CQ6" s="247">
        <v>730</v>
      </c>
      <c r="CR6" s="245"/>
      <c r="CS6" s="277">
        <v>2019</v>
      </c>
      <c r="CT6" s="275">
        <v>69</v>
      </c>
      <c r="CU6" s="275" t="s">
        <v>655</v>
      </c>
      <c r="CV6" s="275">
        <v>15622629231.710014</v>
      </c>
      <c r="CW6" s="275">
        <v>15976172413</v>
      </c>
      <c r="CX6" s="275">
        <v>2385</v>
      </c>
      <c r="CY6" s="275">
        <v>83357600072.290054</v>
      </c>
      <c r="CZ6" s="275">
        <v>82386160732</v>
      </c>
      <c r="DA6" s="275">
        <v>1322</v>
      </c>
      <c r="DB6" s="275">
        <v>67734970840.580002</v>
      </c>
      <c r="DC6" s="275">
        <v>66409988319</v>
      </c>
      <c r="DD6" s="275">
        <v>1063</v>
      </c>
      <c r="DG6" s="348"/>
      <c r="DH6" s="346"/>
      <c r="DJ6" s="352"/>
      <c r="DK6" s="350"/>
      <c r="DM6" s="351" t="s">
        <v>666</v>
      </c>
      <c r="DN6" s="353">
        <v>747999997</v>
      </c>
    </row>
    <row r="7" spans="1:118" x14ac:dyDescent="0.2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570</v>
      </c>
      <c r="T7" s="258">
        <v>0</v>
      </c>
      <c r="U7" s="258">
        <v>0</v>
      </c>
      <c r="V7" s="258">
        <v>0</v>
      </c>
      <c r="W7" s="258">
        <v>0</v>
      </c>
      <c r="X7" s="258">
        <v>1</v>
      </c>
      <c r="Y7" s="245"/>
      <c r="Z7" s="253" t="s">
        <v>576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576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576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575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575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2018</v>
      </c>
      <c r="CH7" s="265">
        <v>22</v>
      </c>
      <c r="CI7" s="245"/>
      <c r="CJ7" s="247" t="s">
        <v>637</v>
      </c>
      <c r="CK7" s="247">
        <v>615469247240</v>
      </c>
      <c r="CL7" s="247"/>
      <c r="CM7" s="247" t="s">
        <v>637</v>
      </c>
      <c r="CN7" s="247">
        <v>1964349672649</v>
      </c>
      <c r="CO7" s="247"/>
      <c r="CP7" s="247" t="s">
        <v>637</v>
      </c>
      <c r="CQ7" s="247">
        <v>50074855540</v>
      </c>
      <c r="CR7" s="245"/>
      <c r="CS7" s="277">
        <v>2019</v>
      </c>
      <c r="CT7" s="275">
        <v>12</v>
      </c>
      <c r="CU7" s="275" t="s">
        <v>656</v>
      </c>
      <c r="CV7" s="275">
        <v>-1979731908.9099998</v>
      </c>
      <c r="CW7" s="275">
        <v>-1846623233</v>
      </c>
      <c r="CX7" s="275">
        <v>32</v>
      </c>
      <c r="CY7" s="275">
        <v>1255016966.3</v>
      </c>
      <c r="CZ7" s="275">
        <v>1370752000</v>
      </c>
      <c r="DA7" s="275">
        <v>6</v>
      </c>
      <c r="DB7" s="275">
        <v>3234748875.21</v>
      </c>
      <c r="DC7" s="275">
        <v>3217375233</v>
      </c>
      <c r="DD7" s="275">
        <v>26</v>
      </c>
    </row>
    <row r="8" spans="1:118" x14ac:dyDescent="0.2">
      <c r="B8" s="188">
        <v>6957369768</v>
      </c>
      <c r="C8" s="188">
        <v>510081958369.87677</v>
      </c>
      <c r="D8" s="194">
        <v>5406216</v>
      </c>
      <c r="E8" s="209"/>
      <c r="F8" s="211">
        <v>2475</v>
      </c>
      <c r="G8" s="211">
        <v>508692824</v>
      </c>
      <c r="H8" s="225">
        <v>31941266698.541824</v>
      </c>
      <c r="J8" s="152" t="str">
        <f>K8&amp;L8</f>
        <v>ABuy</v>
      </c>
      <c r="K8" s="234" t="s">
        <v>542</v>
      </c>
      <c r="L8" s="234" t="s">
        <v>543</v>
      </c>
      <c r="M8" s="238">
        <v>124844825641.84198</v>
      </c>
      <c r="O8" s="244">
        <v>122511520416.25</v>
      </c>
      <c r="P8" s="244">
        <v>-111695612514.8</v>
      </c>
      <c r="Q8" s="241">
        <v>10815907901.450001</v>
      </c>
      <c r="S8" s="253" t="s">
        <v>451</v>
      </c>
      <c r="T8" s="258">
        <v>2263310999.0700002</v>
      </c>
      <c r="U8" s="258">
        <v>121805</v>
      </c>
      <c r="V8" s="258">
        <v>137</v>
      </c>
      <c r="W8" s="258">
        <v>137721</v>
      </c>
      <c r="X8" s="258">
        <v>1</v>
      </c>
      <c r="Y8" s="245"/>
      <c r="Z8" s="253" t="s">
        <v>577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577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577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576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576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327971573032.57178</v>
      </c>
      <c r="BQ8" s="263">
        <v>3969911</v>
      </c>
      <c r="BR8" s="263">
        <v>250369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634</v>
      </c>
      <c r="CE8" s="266" t="s">
        <v>636</v>
      </c>
      <c r="CF8" s="245"/>
      <c r="CG8" s="245"/>
      <c r="CH8" s="245"/>
      <c r="CI8" s="245"/>
      <c r="CJ8" s="247" t="s">
        <v>638</v>
      </c>
      <c r="CK8" s="247">
        <v>622765752186.92981</v>
      </c>
      <c r="CL8" s="247"/>
      <c r="CM8" s="247" t="s">
        <v>638</v>
      </c>
      <c r="CN8" s="247">
        <v>1882015890891.3306</v>
      </c>
      <c r="CO8" s="247"/>
      <c r="CP8" s="247" t="s">
        <v>638</v>
      </c>
      <c r="CQ8" s="247">
        <v>19095838214.410004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197576324376.29077</v>
      </c>
      <c r="N9" s="19"/>
      <c r="O9" s="239"/>
      <c r="P9" s="239"/>
      <c r="Q9" s="239"/>
      <c r="S9" s="253" t="s">
        <v>448</v>
      </c>
      <c r="T9" s="258">
        <v>47660</v>
      </c>
      <c r="U9" s="258">
        <v>251274</v>
      </c>
      <c r="V9" s="258">
        <v>4312</v>
      </c>
      <c r="W9" s="258">
        <v>767993</v>
      </c>
      <c r="X9" s="258">
        <v>1</v>
      </c>
      <c r="Y9" s="245"/>
      <c r="Z9" s="253" t="s">
        <v>578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578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578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578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577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577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620</v>
      </c>
      <c r="BU9" s="266" t="s">
        <v>621</v>
      </c>
      <c r="BV9" s="266" t="s">
        <v>622</v>
      </c>
      <c r="BW9" s="266" t="s">
        <v>623</v>
      </c>
      <c r="BX9" s="266" t="s">
        <v>624</v>
      </c>
      <c r="BY9" s="266" t="s">
        <v>625</v>
      </c>
      <c r="BZ9" s="266" t="s">
        <v>626</v>
      </c>
      <c r="CA9" s="266" t="s">
        <v>627</v>
      </c>
      <c r="CB9" s="266" t="s">
        <v>628</v>
      </c>
      <c r="CC9" s="245"/>
      <c r="CD9" s="269">
        <v>276554352142072.56</v>
      </c>
      <c r="CE9" s="272">
        <v>362421333691.9032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120815895234.61517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182</v>
      </c>
      <c r="T10" s="258">
        <v>36356737.798</v>
      </c>
      <c r="U10" s="258">
        <v>915154</v>
      </c>
      <c r="V10" s="258">
        <v>150</v>
      </c>
      <c r="W10" s="258">
        <v>2012411</v>
      </c>
      <c r="X10" s="258">
        <v>1</v>
      </c>
      <c r="Y10" s="245"/>
      <c r="Z10" s="253" t="s">
        <v>579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579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579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579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578</v>
      </c>
      <c r="BC10" s="253">
        <v>139567.5</v>
      </c>
      <c r="BD10" s="253">
        <v>30</v>
      </c>
      <c r="BE10" s="253">
        <v>2</v>
      </c>
      <c r="BF10" s="253">
        <v>6180</v>
      </c>
      <c r="BG10" s="253">
        <v>0</v>
      </c>
      <c r="BH10" s="247" t="s">
        <v>578</v>
      </c>
      <c r="BI10" s="253">
        <v>0</v>
      </c>
      <c r="BJ10" s="253">
        <v>0</v>
      </c>
      <c r="BK10" s="253">
        <v>0</v>
      </c>
      <c r="BL10" s="253">
        <v>300</v>
      </c>
      <c r="BM10" s="253">
        <v>0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46</v>
      </c>
      <c r="BV10" s="265">
        <v>0</v>
      </c>
      <c r="BW10" s="265">
        <v>0</v>
      </c>
      <c r="BX10" s="265">
        <v>0</v>
      </c>
      <c r="BY10" s="265">
        <v>0</v>
      </c>
      <c r="BZ10" s="265">
        <v>46</v>
      </c>
      <c r="CA10" s="265">
        <v>36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201605254783.51761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446</v>
      </c>
      <c r="T11" s="258">
        <v>279444423813.61591</v>
      </c>
      <c r="U11" s="258">
        <v>859162</v>
      </c>
      <c r="V11" s="258">
        <v>261519</v>
      </c>
      <c r="W11" s="258">
        <v>548165</v>
      </c>
      <c r="X11" s="258">
        <v>1</v>
      </c>
      <c r="Y11" s="245"/>
      <c r="Z11" s="253" t="s">
        <v>580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580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580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579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579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2000680714.9100001</v>
      </c>
      <c r="BQ11" s="263">
        <v>1679940</v>
      </c>
      <c r="BR11" s="263">
        <v>789</v>
      </c>
      <c r="BS11" s="245"/>
      <c r="BT11" s="265" t="s">
        <v>629</v>
      </c>
      <c r="BU11" s="265">
        <v>1</v>
      </c>
      <c r="BV11" s="265">
        <v>0</v>
      </c>
      <c r="BW11" s="265">
        <v>0</v>
      </c>
      <c r="BX11" s="265">
        <v>0</v>
      </c>
      <c r="BY11" s="265">
        <v>0</v>
      </c>
      <c r="BZ11" s="265">
        <v>1</v>
      </c>
      <c r="CA11" s="265">
        <v>1</v>
      </c>
      <c r="CB11" s="265">
        <v>0</v>
      </c>
      <c r="CC11" s="267" t="s">
        <v>505</v>
      </c>
      <c r="CD11" s="266" t="s">
        <v>634</v>
      </c>
      <c r="CE11" s="266" t="s">
        <v>636</v>
      </c>
      <c r="CF11" s="245"/>
      <c r="CG11" s="245"/>
      <c r="CH11" s="245"/>
      <c r="CI11" s="267" t="s">
        <v>511</v>
      </c>
      <c r="CJ11" s="247" t="s">
        <v>117</v>
      </c>
      <c r="CK11" s="247">
        <v>24727</v>
      </c>
      <c r="CL11" s="267" t="s">
        <v>514</v>
      </c>
      <c r="CM11" s="247" t="s">
        <v>117</v>
      </c>
      <c r="CN11" s="247">
        <v>14086</v>
      </c>
      <c r="CO11" s="267" t="s">
        <v>517</v>
      </c>
      <c r="CP11" s="247" t="s">
        <v>117</v>
      </c>
      <c r="CQ11" s="247">
        <v>730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65658645.192000002</v>
      </c>
      <c r="U12" s="258">
        <v>101142</v>
      </c>
      <c r="V12" s="258">
        <v>60</v>
      </c>
      <c r="W12" s="258">
        <v>1649592</v>
      </c>
      <c r="X12" s="258">
        <v>1</v>
      </c>
      <c r="Y12" s="245"/>
      <c r="Z12" s="253" t="s">
        <v>581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581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581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581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580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580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630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276554352142072.56</v>
      </c>
      <c r="CE12" s="272">
        <v>362421333691.9032</v>
      </c>
      <c r="CF12" s="245"/>
      <c r="CG12" s="245"/>
      <c r="CH12" s="245"/>
      <c r="CI12" s="247"/>
      <c r="CJ12" s="247" t="s">
        <v>637</v>
      </c>
      <c r="CK12" s="247">
        <v>842888028060</v>
      </c>
      <c r="CL12" s="247"/>
      <c r="CM12" s="247" t="s">
        <v>637</v>
      </c>
      <c r="CN12" s="247">
        <v>1604476816560</v>
      </c>
      <c r="CO12" s="247"/>
      <c r="CP12" s="247" t="s">
        <v>637</v>
      </c>
      <c r="CQ12" s="247">
        <v>57165938962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450</v>
      </c>
      <c r="T13" s="258">
        <v>0</v>
      </c>
      <c r="U13" s="258">
        <v>95884</v>
      </c>
      <c r="V13" s="258">
        <v>59</v>
      </c>
      <c r="W13" s="258">
        <v>1558903</v>
      </c>
      <c r="X13" s="258">
        <v>1</v>
      </c>
      <c r="Y13" s="245"/>
      <c r="Z13" s="253" t="s">
        <v>582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582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582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582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581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581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631</v>
      </c>
      <c r="BU13" s="265">
        <v>322</v>
      </c>
      <c r="BV13" s="265">
        <v>0</v>
      </c>
      <c r="BW13" s="265">
        <v>1</v>
      </c>
      <c r="BX13" s="265">
        <v>0</v>
      </c>
      <c r="BY13" s="265">
        <v>0</v>
      </c>
      <c r="BZ13" s="265">
        <v>321</v>
      </c>
      <c r="CA13" s="265">
        <v>258</v>
      </c>
      <c r="CB13" s="265">
        <v>64</v>
      </c>
      <c r="CC13" s="245"/>
      <c r="CD13" s="245"/>
      <c r="CE13" s="245"/>
      <c r="CF13" s="245"/>
      <c r="CG13" s="245"/>
      <c r="CH13" s="245"/>
      <c r="CI13" s="247"/>
      <c r="CJ13" s="247" t="s">
        <v>638</v>
      </c>
      <c r="CK13" s="247">
        <v>866668422229.61914</v>
      </c>
      <c r="CL13" s="247"/>
      <c r="CM13" s="247" t="s">
        <v>638</v>
      </c>
      <c r="CN13" s="247">
        <v>1610501677035.6204</v>
      </c>
      <c r="CO13" s="247"/>
      <c r="CP13" s="247" t="s">
        <v>638</v>
      </c>
      <c r="CQ13" s="247">
        <v>19182857828.770004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129705440241.02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447</v>
      </c>
      <c r="T14" s="245">
        <v>7900385256.6999998</v>
      </c>
      <c r="U14" s="245">
        <v>342805</v>
      </c>
      <c r="V14" s="245">
        <v>4431</v>
      </c>
      <c r="W14" s="245">
        <v>963916</v>
      </c>
      <c r="X14" s="245">
        <v>1</v>
      </c>
      <c r="Y14" s="245"/>
      <c r="Z14" s="253" t="s">
        <v>583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583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583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582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582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19613758</v>
      </c>
      <c r="BQ14" s="263"/>
      <c r="BR14" s="263"/>
      <c r="BS14" s="245"/>
      <c r="BT14" s="265" t="s">
        <v>632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634</v>
      </c>
      <c r="CE14" s="273" t="s">
        <v>636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657</v>
      </c>
      <c r="CT14" s="275" t="s">
        <v>640</v>
      </c>
      <c r="CU14" s="275" t="s">
        <v>641</v>
      </c>
      <c r="CV14" s="275" t="s">
        <v>642</v>
      </c>
      <c r="CW14" s="275" t="s">
        <v>643</v>
      </c>
      <c r="CX14" s="275" t="s">
        <v>644</v>
      </c>
      <c r="CY14" s="275" t="s">
        <v>645</v>
      </c>
      <c r="CZ14" s="275" t="s">
        <v>646</v>
      </c>
      <c r="DA14" s="275" t="s">
        <v>647</v>
      </c>
      <c r="DB14" s="275" t="s">
        <v>648</v>
      </c>
      <c r="DC14" s="275" t="s">
        <v>649</v>
      </c>
      <c r="DD14" s="275" t="s">
        <v>650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221813581062.67001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584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584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584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614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614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341398780795744.56</v>
      </c>
      <c r="CE15" s="274">
        <v>501089437347.15332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658</v>
      </c>
      <c r="CT15" s="275">
        <v>17</v>
      </c>
      <c r="CU15" s="275" t="s">
        <v>651</v>
      </c>
      <c r="CV15" s="275">
        <v>0</v>
      </c>
      <c r="CW15" s="275">
        <v>1673947830</v>
      </c>
      <c r="CX15" s="275">
        <v>328</v>
      </c>
      <c r="CY15" s="275">
        <v>0</v>
      </c>
      <c r="CZ15" s="275">
        <v>13671370172</v>
      </c>
      <c r="DA15" s="275">
        <v>181</v>
      </c>
      <c r="DB15" s="275">
        <v>0</v>
      </c>
      <c r="DC15" s="275">
        <v>11997422342</v>
      </c>
      <c r="DD15" s="275">
        <v>147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139848093202.07999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585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585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585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583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583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658</v>
      </c>
      <c r="CT16" s="275">
        <v>23</v>
      </c>
      <c r="CU16" s="275" t="s">
        <v>652</v>
      </c>
      <c r="CV16" s="275">
        <v>89040145735.689987</v>
      </c>
      <c r="CW16" s="275">
        <v>95174831000</v>
      </c>
      <c r="CX16" s="275">
        <v>566</v>
      </c>
      <c r="CY16" s="275">
        <v>111900610373.42</v>
      </c>
      <c r="CZ16" s="275">
        <v>117688600000</v>
      </c>
      <c r="DA16" s="275">
        <v>507</v>
      </c>
      <c r="DB16" s="275">
        <v>22860464637.73</v>
      </c>
      <c r="DC16" s="275">
        <v>22513769000</v>
      </c>
      <c r="DD16" s="275">
        <v>59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211670928101.60999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564</v>
      </c>
      <c r="T17" s="258" t="s">
        <v>565</v>
      </c>
      <c r="U17" s="258" t="s">
        <v>566</v>
      </c>
      <c r="V17" s="258" t="s">
        <v>567</v>
      </c>
      <c r="W17" s="258" t="s">
        <v>568</v>
      </c>
      <c r="X17" s="258" t="s">
        <v>569</v>
      </c>
      <c r="Y17" s="245"/>
      <c r="Z17" s="253" t="s">
        <v>586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586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586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586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584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584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3010616</v>
      </c>
      <c r="BQ17" s="263"/>
      <c r="BR17" s="263"/>
      <c r="BS17" s="256" t="s">
        <v>500</v>
      </c>
      <c r="BT17" s="266" t="s">
        <v>620</v>
      </c>
      <c r="BU17" s="266" t="s">
        <v>621</v>
      </c>
      <c r="BV17" s="266" t="s">
        <v>622</v>
      </c>
      <c r="BW17" s="266" t="s">
        <v>623</v>
      </c>
      <c r="BX17" s="266" t="s">
        <v>624</v>
      </c>
      <c r="BY17" s="266" t="s">
        <v>625</v>
      </c>
      <c r="BZ17" s="266" t="s">
        <v>626</v>
      </c>
      <c r="CA17" s="266" t="s">
        <v>627</v>
      </c>
      <c r="CB17" s="266" t="s">
        <v>628</v>
      </c>
      <c r="CC17" s="358" t="s">
        <v>528</v>
      </c>
      <c r="CD17" s="357" t="s">
        <v>634</v>
      </c>
      <c r="CE17" s="357" t="s">
        <v>636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658</v>
      </c>
      <c r="CT17" s="275">
        <v>23</v>
      </c>
      <c r="CU17" s="275" t="s">
        <v>653</v>
      </c>
      <c r="CV17" s="275">
        <v>-85521859673.320007</v>
      </c>
      <c r="CW17" s="275">
        <v>-91574131000</v>
      </c>
      <c r="CX17" s="275">
        <v>553</v>
      </c>
      <c r="CY17" s="275">
        <v>22499218512.269997</v>
      </c>
      <c r="CZ17" s="275">
        <v>22033769000</v>
      </c>
      <c r="DA17" s="275">
        <v>57</v>
      </c>
      <c r="DB17" s="275">
        <v>108021078185.58997</v>
      </c>
      <c r="DC17" s="275">
        <v>113607900000</v>
      </c>
      <c r="DD17" s="275">
        <v>496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0</v>
      </c>
      <c r="U18" s="258">
        <v>0</v>
      </c>
      <c r="V18" s="258">
        <v>0</v>
      </c>
      <c r="W18" s="258">
        <v>453485</v>
      </c>
      <c r="X18" s="258">
        <v>0</v>
      </c>
      <c r="Y18" s="245"/>
      <c r="Z18" s="253" t="s">
        <v>587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587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587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587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585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585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52</v>
      </c>
      <c r="BV18" s="265">
        <v>0</v>
      </c>
      <c r="BW18" s="265">
        <v>1</v>
      </c>
      <c r="BX18" s="265">
        <v>0</v>
      </c>
      <c r="BY18" s="265">
        <v>0</v>
      </c>
      <c r="BZ18" s="265">
        <v>51</v>
      </c>
      <c r="CA18" s="265">
        <v>40</v>
      </c>
      <c r="CB18" s="265">
        <v>12</v>
      </c>
      <c r="CC18" s="355"/>
      <c r="CD18" s="359">
        <v>12798703186391.891</v>
      </c>
      <c r="CE18" s="360">
        <v>30846636742.727978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658</v>
      </c>
      <c r="CT18" s="275">
        <v>56</v>
      </c>
      <c r="CU18" s="275" t="s">
        <v>654</v>
      </c>
      <c r="CV18" s="275">
        <v>-3988643269.7000012</v>
      </c>
      <c r="CW18" s="275">
        <v>-4094191669</v>
      </c>
      <c r="CX18" s="275">
        <v>466</v>
      </c>
      <c r="CY18" s="275">
        <v>6624533894.5499992</v>
      </c>
      <c r="CZ18" s="275">
        <v>6183859162</v>
      </c>
      <c r="DA18" s="275">
        <v>244</v>
      </c>
      <c r="DB18" s="275">
        <v>10613177164.25001</v>
      </c>
      <c r="DC18" s="275">
        <v>10278050831</v>
      </c>
      <c r="DD18" s="275">
        <v>222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588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588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588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586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586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629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658</v>
      </c>
      <c r="CT19" s="275">
        <v>69</v>
      </c>
      <c r="CU19" s="275" t="s">
        <v>655</v>
      </c>
      <c r="CV19" s="275">
        <v>15622629231.71002</v>
      </c>
      <c r="CW19" s="275">
        <v>15976172413</v>
      </c>
      <c r="CX19" s="275">
        <v>2385</v>
      </c>
      <c r="CY19" s="275">
        <v>83357600072.290039</v>
      </c>
      <c r="CZ19" s="275">
        <v>82386160732</v>
      </c>
      <c r="DA19" s="275">
        <v>1322</v>
      </c>
      <c r="DB19" s="275">
        <v>67734970840.580009</v>
      </c>
      <c r="DC19" s="275">
        <v>66409988319</v>
      </c>
      <c r="DD19" s="275">
        <v>1063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119874669660.22499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81078894</v>
      </c>
      <c r="U20" s="258">
        <v>6664</v>
      </c>
      <c r="V20" s="258">
        <v>39</v>
      </c>
      <c r="W20" s="258">
        <v>925459</v>
      </c>
      <c r="X20" s="258">
        <v>0</v>
      </c>
      <c r="Y20" s="245"/>
      <c r="Z20" s="253" t="s">
        <v>589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589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589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587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587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199825270160.55002</v>
      </c>
      <c r="BQ20" s="263">
        <v>1875681</v>
      </c>
      <c r="BR20" s="263">
        <v>1661</v>
      </c>
      <c r="BS20" s="245"/>
      <c r="BT20" s="265" t="s">
        <v>630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634</v>
      </c>
      <c r="CE20" s="357" t="s">
        <v>636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658</v>
      </c>
      <c r="CT20" s="275">
        <v>12</v>
      </c>
      <c r="CU20" s="275" t="s">
        <v>656</v>
      </c>
      <c r="CV20" s="275">
        <v>-1979731908.9099998</v>
      </c>
      <c r="CW20" s="275">
        <v>-1846623233</v>
      </c>
      <c r="CX20" s="275">
        <v>32</v>
      </c>
      <c r="CY20" s="275">
        <v>1255016966.3</v>
      </c>
      <c r="CZ20" s="275">
        <v>1370752000</v>
      </c>
      <c r="DA20" s="275">
        <v>6</v>
      </c>
      <c r="DB20" s="275">
        <v>3234748875.21</v>
      </c>
      <c r="DC20" s="275">
        <v>3217375233</v>
      </c>
      <c r="DD20" s="275">
        <v>26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190258158673.88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590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590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590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588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588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631</v>
      </c>
      <c r="BU21" s="265">
        <v>320</v>
      </c>
      <c r="BV21" s="265">
        <v>0</v>
      </c>
      <c r="BW21" s="265">
        <v>0</v>
      </c>
      <c r="BX21" s="265">
        <v>0</v>
      </c>
      <c r="BY21" s="265">
        <v>0</v>
      </c>
      <c r="BZ21" s="265">
        <v>320</v>
      </c>
      <c r="CA21" s="265">
        <v>258</v>
      </c>
      <c r="CB21" s="265">
        <v>62</v>
      </c>
      <c r="CC21" s="355"/>
      <c r="CD21" s="359">
        <v>3488836798561492</v>
      </c>
      <c r="CE21" s="360">
        <v>5367995860881.4297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115805143167.58499</v>
      </c>
      <c r="O22" s="239"/>
      <c r="P22" s="239"/>
      <c r="Q22" s="239"/>
      <c r="S22" s="253" t="s">
        <v>447</v>
      </c>
      <c r="T22" s="258">
        <v>2835266.58</v>
      </c>
      <c r="U22" s="258">
        <v>327</v>
      </c>
      <c r="V22" s="258">
        <v>1</v>
      </c>
      <c r="W22" s="258">
        <v>1275176</v>
      </c>
      <c r="X22" s="258">
        <v>0</v>
      </c>
      <c r="Y22" s="245"/>
      <c r="Z22" s="253" t="s">
        <v>591</v>
      </c>
      <c r="AA22" s="253">
        <v>0</v>
      </c>
      <c r="AB22" s="253">
        <v>0</v>
      </c>
      <c r="AC22" s="253">
        <v>0</v>
      </c>
      <c r="AD22" s="253">
        <v>440</v>
      </c>
      <c r="AE22" s="253">
        <v>0</v>
      </c>
      <c r="AF22" s="253"/>
      <c r="AG22" s="253" t="s">
        <v>591</v>
      </c>
      <c r="AH22" s="253">
        <v>0</v>
      </c>
      <c r="AI22" s="253">
        <v>0</v>
      </c>
      <c r="AJ22" s="253">
        <v>0</v>
      </c>
      <c r="AK22" s="253">
        <v>20</v>
      </c>
      <c r="AL22" s="253">
        <v>0</v>
      </c>
      <c r="AM22" s="245"/>
      <c r="AN22" s="253" t="s">
        <v>591</v>
      </c>
      <c r="AO22" s="253">
        <v>649700</v>
      </c>
      <c r="AP22" s="253">
        <v>52</v>
      </c>
      <c r="AQ22" s="253">
        <v>8</v>
      </c>
      <c r="AR22" s="253">
        <v>547</v>
      </c>
      <c r="AS22" s="253">
        <v>0</v>
      </c>
      <c r="AT22" s="245"/>
      <c r="AU22" s="253" t="s">
        <v>591</v>
      </c>
      <c r="AV22" s="253">
        <v>0</v>
      </c>
      <c r="AW22" s="253">
        <v>0</v>
      </c>
      <c r="AX22" s="253">
        <v>0</v>
      </c>
      <c r="AY22" s="253">
        <v>20</v>
      </c>
      <c r="AZ22" s="253">
        <v>0</v>
      </c>
      <c r="BA22" s="245"/>
      <c r="BB22" s="253" t="s">
        <v>589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589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632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194327685166.51999</v>
      </c>
      <c r="N23" s="163" t="s">
        <v>445</v>
      </c>
      <c r="O23" s="242" t="s">
        <v>226</v>
      </c>
      <c r="P23" s="242" t="s">
        <v>546</v>
      </c>
      <c r="Q23" s="239"/>
      <c r="S23" s="253" t="s">
        <v>570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592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592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592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592</v>
      </c>
      <c r="AV23" s="253">
        <v>0</v>
      </c>
      <c r="AW23" s="253">
        <v>0</v>
      </c>
      <c r="AX23" s="253">
        <v>0</v>
      </c>
      <c r="AY23" s="253">
        <v>0</v>
      </c>
      <c r="AZ23" s="253">
        <v>0</v>
      </c>
      <c r="BA23" s="245"/>
      <c r="BB23" s="253" t="s">
        <v>590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590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2119888300.9000001</v>
      </c>
      <c r="BQ23" s="263">
        <v>19110</v>
      </c>
      <c r="BR23" s="263">
        <v>31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51796.708716130001</v>
      </c>
      <c r="I24" s="164"/>
      <c r="K24" s="231"/>
      <c r="L24" s="228"/>
      <c r="M24" s="228"/>
      <c r="O24" s="241" t="s">
        <v>254</v>
      </c>
      <c r="P24" s="241">
        <v>57328.952646520003</v>
      </c>
      <c r="Q24" s="239"/>
      <c r="S24" s="253" t="s">
        <v>451</v>
      </c>
      <c r="T24" s="258">
        <v>3203049.6</v>
      </c>
      <c r="U24" s="258">
        <v>941</v>
      </c>
      <c r="V24" s="258">
        <v>2</v>
      </c>
      <c r="W24" s="258">
        <v>137721</v>
      </c>
      <c r="X24" s="258">
        <v>1</v>
      </c>
      <c r="Y24" s="245"/>
      <c r="Z24" s="253" t="s">
        <v>593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593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593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593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591</v>
      </c>
      <c r="BC24" s="253">
        <v>0</v>
      </c>
      <c r="BD24" s="253">
        <v>0</v>
      </c>
      <c r="BE24" s="253">
        <v>0</v>
      </c>
      <c r="BF24" s="253">
        <v>1100</v>
      </c>
      <c r="BG24" s="253">
        <v>0</v>
      </c>
      <c r="BH24" s="247" t="s">
        <v>591</v>
      </c>
      <c r="BI24" s="253">
        <v>0</v>
      </c>
      <c r="BJ24" s="253">
        <v>0</v>
      </c>
      <c r="BK24" s="253">
        <v>0</v>
      </c>
      <c r="BL24" s="253">
        <v>50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11503.05343326</v>
      </c>
      <c r="I25" s="164"/>
      <c r="K25" s="231"/>
      <c r="L25" s="228"/>
      <c r="M25" s="228"/>
      <c r="O25" s="241" t="s">
        <v>271</v>
      </c>
      <c r="P25" s="241">
        <v>11181.97057395</v>
      </c>
      <c r="Q25" s="239"/>
      <c r="S25" s="253" t="s">
        <v>448</v>
      </c>
      <c r="T25" s="258">
        <v>0</v>
      </c>
      <c r="U25" s="258">
        <v>16042</v>
      </c>
      <c r="V25" s="258">
        <v>264</v>
      </c>
      <c r="W25" s="258">
        <v>767993</v>
      </c>
      <c r="X25" s="258">
        <v>1</v>
      </c>
      <c r="Y25" s="245"/>
      <c r="Z25" s="253" t="s">
        <v>594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594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594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594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592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592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10550.070017649999</v>
      </c>
      <c r="I26" s="164"/>
      <c r="J26" s="157"/>
      <c r="K26" s="232"/>
      <c r="L26" s="228"/>
      <c r="M26" s="228"/>
      <c r="O26" s="241" t="s">
        <v>272</v>
      </c>
      <c r="P26" s="241">
        <v>10193.40820589</v>
      </c>
      <c r="Q26" s="239"/>
      <c r="S26" s="253" t="s">
        <v>182</v>
      </c>
      <c r="T26" s="258">
        <v>4108609.898</v>
      </c>
      <c r="U26" s="258">
        <v>378722</v>
      </c>
      <c r="V26" s="258">
        <v>6</v>
      </c>
      <c r="W26" s="258">
        <v>2012411</v>
      </c>
      <c r="X26" s="258">
        <v>1</v>
      </c>
      <c r="Y26" s="245"/>
      <c r="Z26" s="253" t="s">
        <v>595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595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595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595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615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615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1121187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20200.686030500001</v>
      </c>
      <c r="I27" s="164"/>
      <c r="J27" s="157"/>
      <c r="K27" s="231"/>
      <c r="L27" s="228"/>
      <c r="M27" s="228"/>
      <c r="O27" s="241" t="s">
        <v>273</v>
      </c>
      <c r="P27" s="241">
        <v>21290.94886791</v>
      </c>
      <c r="Q27" s="239"/>
      <c r="S27" s="253" t="s">
        <v>446</v>
      </c>
      <c r="T27" s="258">
        <v>14594757663.986401</v>
      </c>
      <c r="U27" s="258">
        <v>43839</v>
      </c>
      <c r="V27" s="258">
        <v>11447</v>
      </c>
      <c r="W27" s="258">
        <v>548165</v>
      </c>
      <c r="X27" s="258">
        <v>1</v>
      </c>
      <c r="Y27" s="245"/>
      <c r="Z27" s="253" t="s">
        <v>596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596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596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616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616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639</v>
      </c>
      <c r="CT27" s="275" t="s">
        <v>640</v>
      </c>
      <c r="CU27" s="275" t="s">
        <v>641</v>
      </c>
      <c r="CV27" s="275" t="s">
        <v>642</v>
      </c>
      <c r="CW27" s="275" t="s">
        <v>643</v>
      </c>
      <c r="CX27" s="275" t="s">
        <v>644</v>
      </c>
      <c r="CY27" s="275" t="s">
        <v>645</v>
      </c>
      <c r="CZ27" s="275" t="s">
        <v>646</v>
      </c>
      <c r="DA27" s="275" t="s">
        <v>647</v>
      </c>
      <c r="DB27" s="275" t="s">
        <v>648</v>
      </c>
      <c r="DC27" s="275" t="s">
        <v>649</v>
      </c>
      <c r="DD27" s="275" t="s">
        <v>650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3028.19599057</v>
      </c>
      <c r="I28" s="164"/>
      <c r="J28" s="157"/>
      <c r="K28" s="231"/>
      <c r="L28" s="233"/>
      <c r="M28" s="236"/>
      <c r="O28" s="241" t="s">
        <v>274</v>
      </c>
      <c r="P28" s="241">
        <v>2996.7013665700001</v>
      </c>
      <c r="Q28" s="239"/>
      <c r="S28" s="245" t="s">
        <v>449</v>
      </c>
      <c r="T28" s="245">
        <v>268240.429</v>
      </c>
      <c r="U28" s="245">
        <v>576</v>
      </c>
      <c r="V28" s="245">
        <v>4</v>
      </c>
      <c r="W28" s="245">
        <v>1649592</v>
      </c>
      <c r="X28" s="245">
        <v>1</v>
      </c>
      <c r="Y28" s="245"/>
      <c r="Z28" s="253" t="s">
        <v>597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597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597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597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595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595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2018</v>
      </c>
      <c r="CT28" s="275">
        <v>19</v>
      </c>
      <c r="CU28" s="275" t="s">
        <v>651</v>
      </c>
      <c r="CV28" s="275">
        <v>0</v>
      </c>
      <c r="CW28" s="275">
        <v>1503355997</v>
      </c>
      <c r="CX28" s="275">
        <v>399</v>
      </c>
      <c r="CY28" s="275">
        <v>0</v>
      </c>
      <c r="CZ28" s="275">
        <v>18890074146</v>
      </c>
      <c r="DA28" s="275">
        <v>188</v>
      </c>
      <c r="DB28" s="275">
        <v>0</v>
      </c>
      <c r="DC28" s="275">
        <v>17386718149</v>
      </c>
      <c r="DD28" s="275">
        <v>211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2913.27550591</v>
      </c>
      <c r="I29" s="164"/>
      <c r="J29" s="157"/>
      <c r="K29" s="231"/>
      <c r="L29" s="228"/>
      <c r="M29" s="228"/>
      <c r="O29" s="241" t="s">
        <v>275</v>
      </c>
      <c r="P29" s="241">
        <v>2906.61256804</v>
      </c>
      <c r="Q29" s="239"/>
      <c r="S29" s="245" t="s">
        <v>450</v>
      </c>
      <c r="T29" s="245">
        <v>0</v>
      </c>
      <c r="U29" s="245">
        <v>489</v>
      </c>
      <c r="V29" s="245">
        <v>4</v>
      </c>
      <c r="W29" s="245">
        <v>1558903</v>
      </c>
      <c r="X29" s="245">
        <v>1</v>
      </c>
      <c r="Y29" s="245"/>
      <c r="Z29" s="253" t="s">
        <v>598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598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598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598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596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596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143550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2018</v>
      </c>
      <c r="CT29" s="275">
        <v>23</v>
      </c>
      <c r="CU29" s="275" t="s">
        <v>652</v>
      </c>
      <c r="CV29" s="275">
        <v>-111815641739.92996</v>
      </c>
      <c r="CW29" s="275">
        <v>-100257156781</v>
      </c>
      <c r="CX29" s="275">
        <v>758</v>
      </c>
      <c r="CY29" s="275">
        <v>28669265207.189987</v>
      </c>
      <c r="CZ29" s="275">
        <v>29856005090</v>
      </c>
      <c r="DA29" s="275">
        <v>351</v>
      </c>
      <c r="DB29" s="275">
        <v>140484906947.12003</v>
      </c>
      <c r="DC29" s="275">
        <v>130113161871</v>
      </c>
      <c r="DD29" s="275">
        <v>407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3432.4605688699999</v>
      </c>
      <c r="I30" s="164"/>
      <c r="J30" s="157"/>
      <c r="K30" s="231"/>
      <c r="L30" s="228"/>
      <c r="M30" s="228"/>
      <c r="O30" s="241" t="s">
        <v>93</v>
      </c>
      <c r="P30" s="241">
        <v>3376.84007019</v>
      </c>
      <c r="Q30" s="239"/>
      <c r="S30" s="254" t="s">
        <v>447</v>
      </c>
      <c r="T30" s="257">
        <v>176933274.80000001</v>
      </c>
      <c r="U30" s="257">
        <v>16870</v>
      </c>
      <c r="V30" s="257">
        <v>266</v>
      </c>
      <c r="W30" s="257">
        <v>963916</v>
      </c>
      <c r="X30" s="257">
        <v>1</v>
      </c>
      <c r="Y30" s="245"/>
      <c r="Z30" s="253" t="s">
        <v>599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599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599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599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597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597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2018</v>
      </c>
      <c r="CT30" s="275">
        <v>23</v>
      </c>
      <c r="CU30" s="275" t="s">
        <v>653</v>
      </c>
      <c r="CV30" s="275">
        <v>111868739047.34007</v>
      </c>
      <c r="CW30" s="275">
        <v>100296056781</v>
      </c>
      <c r="CX30" s="275">
        <v>746</v>
      </c>
      <c r="CY30" s="275">
        <v>138933162269.70999</v>
      </c>
      <c r="CZ30" s="275">
        <v>128626761871</v>
      </c>
      <c r="DA30" s="275">
        <v>403</v>
      </c>
      <c r="DB30" s="275">
        <v>27064423222.370014</v>
      </c>
      <c r="DC30" s="275">
        <v>28330705090</v>
      </c>
      <c r="DD30" s="275">
        <v>343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1460.22980089</v>
      </c>
      <c r="I31" s="164"/>
      <c r="J31" s="158"/>
      <c r="K31" s="229"/>
      <c r="L31" s="228"/>
      <c r="M31" s="228"/>
      <c r="O31" s="241" t="s">
        <v>63</v>
      </c>
      <c r="P31" s="241">
        <v>1375.7516755199999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600</v>
      </c>
      <c r="AA31" s="253">
        <v>4129487.2</v>
      </c>
      <c r="AB31" s="253">
        <v>931</v>
      </c>
      <c r="AC31" s="253">
        <v>92</v>
      </c>
      <c r="AD31" s="253">
        <v>64121</v>
      </c>
      <c r="AE31" s="253">
        <v>0</v>
      </c>
      <c r="AF31" s="253"/>
      <c r="AG31" s="253" t="s">
        <v>600</v>
      </c>
      <c r="AH31" s="253">
        <v>18368</v>
      </c>
      <c r="AI31" s="253">
        <v>7</v>
      </c>
      <c r="AJ31" s="253">
        <v>3</v>
      </c>
      <c r="AK31" s="253">
        <v>3233</v>
      </c>
      <c r="AL31" s="253">
        <v>0</v>
      </c>
      <c r="AM31" s="245"/>
      <c r="AN31" s="253" t="s">
        <v>600</v>
      </c>
      <c r="AO31" s="253">
        <v>16186830.98</v>
      </c>
      <c r="AP31" s="253">
        <v>2037</v>
      </c>
      <c r="AQ31" s="253">
        <v>116</v>
      </c>
      <c r="AR31" s="253">
        <v>40353</v>
      </c>
      <c r="AS31" s="253">
        <v>0</v>
      </c>
      <c r="AT31" s="245"/>
      <c r="AU31" s="253" t="s">
        <v>600</v>
      </c>
      <c r="AV31" s="253">
        <v>0</v>
      </c>
      <c r="AW31" s="253">
        <v>0</v>
      </c>
      <c r="AX31" s="253">
        <v>0</v>
      </c>
      <c r="AY31" s="253">
        <v>2735</v>
      </c>
      <c r="AZ31" s="253">
        <v>0</v>
      </c>
      <c r="BA31" s="245"/>
      <c r="BB31" s="253" t="s">
        <v>598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598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2018</v>
      </c>
      <c r="CT31" s="275">
        <v>77</v>
      </c>
      <c r="CU31" s="275" t="s">
        <v>654</v>
      </c>
      <c r="CV31" s="275">
        <v>-4550266112.1900024</v>
      </c>
      <c r="CW31" s="275">
        <v>-4978510339</v>
      </c>
      <c r="CX31" s="275">
        <v>619</v>
      </c>
      <c r="CY31" s="275">
        <v>13014820020.329994</v>
      </c>
      <c r="CZ31" s="275">
        <v>12276812274</v>
      </c>
      <c r="DA31" s="275">
        <v>324</v>
      </c>
      <c r="DB31" s="275">
        <v>17565086132.519993</v>
      </c>
      <c r="DC31" s="275">
        <v>17255322613</v>
      </c>
      <c r="DD31" s="275">
        <v>295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21271.150435340001</v>
      </c>
      <c r="I32" s="164"/>
      <c r="J32" s="157"/>
      <c r="K32" s="229"/>
      <c r="L32" s="228"/>
      <c r="M32" s="228"/>
      <c r="O32" s="241" t="s">
        <v>276</v>
      </c>
      <c r="P32" s="241">
        <v>19051.864552200001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601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601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601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601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599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599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199825270160.55002</v>
      </c>
      <c r="BQ32" s="263">
        <v>1875681</v>
      </c>
      <c r="BR32" s="263">
        <v>1661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2018</v>
      </c>
      <c r="CT32" s="275">
        <v>68</v>
      </c>
      <c r="CU32" s="275" t="s">
        <v>655</v>
      </c>
      <c r="CV32" s="275">
        <v>-2161800945.1500006</v>
      </c>
      <c r="CW32" s="275">
        <v>-2193677004</v>
      </c>
      <c r="CX32" s="275">
        <v>3106</v>
      </c>
      <c r="CY32" s="275">
        <v>101007709518.73006</v>
      </c>
      <c r="CZ32" s="275">
        <v>97452234402</v>
      </c>
      <c r="DA32" s="275">
        <v>1558</v>
      </c>
      <c r="DB32" s="275">
        <v>103169510463.88004</v>
      </c>
      <c r="DC32" s="275">
        <v>99645911406</v>
      </c>
      <c r="DD32" s="275">
        <v>1548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24.901708070000002</v>
      </c>
      <c r="I33" s="164"/>
      <c r="J33" s="157"/>
      <c r="K33" s="228"/>
      <c r="L33" s="228"/>
      <c r="M33" s="228"/>
      <c r="O33" s="241" t="s">
        <v>106</v>
      </c>
      <c r="P33" s="241">
        <v>22.149558890000002</v>
      </c>
      <c r="Q33" s="239"/>
      <c r="R33" s="153" t="s">
        <v>454</v>
      </c>
      <c r="S33" s="253" t="s">
        <v>564</v>
      </c>
      <c r="T33" s="258" t="s">
        <v>565</v>
      </c>
      <c r="U33" s="258" t="s">
        <v>566</v>
      </c>
      <c r="V33" s="258" t="s">
        <v>567</v>
      </c>
      <c r="W33" s="258" t="s">
        <v>568</v>
      </c>
      <c r="X33" s="258" t="s">
        <v>569</v>
      </c>
      <c r="Y33" s="245"/>
      <c r="Z33" s="253" t="s">
        <v>602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602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602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602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600</v>
      </c>
      <c r="BC33" s="253">
        <v>20039982.949999999</v>
      </c>
      <c r="BD33" s="253">
        <v>2065</v>
      </c>
      <c r="BE33" s="253">
        <v>140</v>
      </c>
      <c r="BF33" s="253">
        <v>74905</v>
      </c>
      <c r="BG33" s="253">
        <v>0</v>
      </c>
      <c r="BH33" s="247" t="s">
        <v>600</v>
      </c>
      <c r="BI33" s="253">
        <v>32375</v>
      </c>
      <c r="BJ33" s="253">
        <v>5</v>
      </c>
      <c r="BK33" s="253">
        <v>5</v>
      </c>
      <c r="BL33" s="253">
        <v>3807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2018</v>
      </c>
      <c r="CT33" s="275">
        <v>7</v>
      </c>
      <c r="CU33" s="275" t="s">
        <v>656</v>
      </c>
      <c r="CV33" s="275">
        <v>-1215299999.2</v>
      </c>
      <c r="CW33" s="275">
        <v>-1122300000</v>
      </c>
      <c r="CX33" s="275">
        <v>38</v>
      </c>
      <c r="CY33" s="275">
        <v>563324723.4000001</v>
      </c>
      <c r="CZ33" s="275">
        <v>501700000</v>
      </c>
      <c r="DA33" s="275">
        <v>22</v>
      </c>
      <c r="DB33" s="275">
        <v>1778624722.5999999</v>
      </c>
      <c r="DC33" s="275">
        <v>1624000000</v>
      </c>
      <c r="DD33" s="275">
        <v>16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10401.48761448</v>
      </c>
      <c r="I34" s="164"/>
      <c r="J34" s="157"/>
      <c r="K34" s="228"/>
      <c r="L34" s="228"/>
      <c r="M34" s="228"/>
      <c r="O34" s="241" t="s">
        <v>108</v>
      </c>
      <c r="P34" s="241">
        <v>10040.272961520001</v>
      </c>
      <c r="Q34" s="239"/>
      <c r="R34" s="157"/>
      <c r="S34" s="253" t="s">
        <v>451</v>
      </c>
      <c r="T34" s="258">
        <v>233092738.5</v>
      </c>
      <c r="U34" s="258">
        <v>62738</v>
      </c>
      <c r="V34" s="258">
        <v>135</v>
      </c>
      <c r="W34" s="258">
        <v>293260</v>
      </c>
      <c r="X34" s="258">
        <v>0</v>
      </c>
      <c r="Y34" s="245"/>
      <c r="Z34" s="253" t="s">
        <v>603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603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603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603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601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601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/>
      <c r="CT34" s="275"/>
      <c r="CU34" s="275"/>
      <c r="CV34" s="275"/>
      <c r="CW34" s="275"/>
      <c r="CX34" s="275"/>
      <c r="CY34" s="275"/>
      <c r="CZ34" s="275"/>
      <c r="DA34" s="275"/>
      <c r="DB34" s="275"/>
      <c r="DC34" s="275"/>
      <c r="DD34" s="275"/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58852.882146869997</v>
      </c>
      <c r="I35" s="164"/>
      <c r="J35" s="157"/>
      <c r="K35" s="228"/>
      <c r="L35" s="228"/>
      <c r="M35" s="228"/>
      <c r="O35" s="241" t="s">
        <v>279</v>
      </c>
      <c r="P35" s="241">
        <v>56767.663599450003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604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604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604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604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602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602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2119888300.9000001</v>
      </c>
      <c r="BQ35" s="263">
        <v>19110</v>
      </c>
      <c r="BR35" s="263">
        <v>31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17286.7230929</v>
      </c>
      <c r="I36" s="164"/>
      <c r="J36" s="157"/>
      <c r="K36" s="228"/>
      <c r="L36" s="228"/>
      <c r="M36" s="228"/>
      <c r="O36" s="241" t="s">
        <v>280</v>
      </c>
      <c r="P36" s="241">
        <v>14627.29298762</v>
      </c>
      <c r="Q36" s="239"/>
      <c r="R36" s="157"/>
      <c r="S36" s="253" t="s">
        <v>446</v>
      </c>
      <c r="T36" s="258">
        <v>1091870982.79</v>
      </c>
      <c r="U36" s="258">
        <v>229659</v>
      </c>
      <c r="V36" s="258">
        <v>340</v>
      </c>
      <c r="W36" s="258">
        <v>785857</v>
      </c>
      <c r="X36" s="258">
        <v>0</v>
      </c>
      <c r="Y36" s="245"/>
      <c r="Z36" s="253" t="s">
        <v>605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605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605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605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603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603</v>
      </c>
      <c r="BI36" s="253">
        <v>0</v>
      </c>
      <c r="BJ36" s="253">
        <v>0</v>
      </c>
      <c r="BK36" s="253">
        <v>0</v>
      </c>
      <c r="BL36" s="253">
        <v>0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33555.808805120003</v>
      </c>
      <c r="I37" s="164"/>
      <c r="J37" s="157"/>
      <c r="K37" s="228"/>
      <c r="L37" s="228"/>
      <c r="M37" s="228"/>
      <c r="O37" s="241" t="s">
        <v>281</v>
      </c>
      <c r="P37" s="241">
        <v>32057.479461890001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606</v>
      </c>
      <c r="AA37" s="253">
        <v>4700747.7</v>
      </c>
      <c r="AB37" s="253">
        <v>349</v>
      </c>
      <c r="AC37" s="253">
        <v>69</v>
      </c>
      <c r="AD37" s="253">
        <v>35943</v>
      </c>
      <c r="AE37" s="253">
        <v>0</v>
      </c>
      <c r="AF37" s="253"/>
      <c r="AG37" s="253" t="s">
        <v>606</v>
      </c>
      <c r="AH37" s="253">
        <v>158000</v>
      </c>
      <c r="AI37" s="253">
        <v>12</v>
      </c>
      <c r="AJ37" s="253">
        <v>3</v>
      </c>
      <c r="AK37" s="253">
        <v>1708</v>
      </c>
      <c r="AL37" s="253">
        <v>0</v>
      </c>
      <c r="AM37" s="245"/>
      <c r="AN37" s="253" t="s">
        <v>606</v>
      </c>
      <c r="AO37" s="253">
        <v>29741782.010000002</v>
      </c>
      <c r="AP37" s="253">
        <v>831</v>
      </c>
      <c r="AQ37" s="253">
        <v>196</v>
      </c>
      <c r="AR37" s="253">
        <v>26060</v>
      </c>
      <c r="AS37" s="253">
        <v>0</v>
      </c>
      <c r="AT37" s="245"/>
      <c r="AU37" s="253" t="s">
        <v>606</v>
      </c>
      <c r="AV37" s="253">
        <v>7500</v>
      </c>
      <c r="AW37" s="253">
        <v>1</v>
      </c>
      <c r="AX37" s="253">
        <v>1</v>
      </c>
      <c r="AY37" s="253">
        <v>1557</v>
      </c>
      <c r="AZ37" s="253">
        <v>0</v>
      </c>
      <c r="BA37" s="245"/>
      <c r="BB37" s="253" t="s">
        <v>604</v>
      </c>
      <c r="BC37" s="253">
        <v>0</v>
      </c>
      <c r="BD37" s="253">
        <v>0</v>
      </c>
      <c r="BE37" s="253">
        <v>0</v>
      </c>
      <c r="BF37" s="253">
        <v>0</v>
      </c>
      <c r="BG37" s="253">
        <v>0</v>
      </c>
      <c r="BH37" s="247" t="s">
        <v>604</v>
      </c>
      <c r="BI37" s="253">
        <v>0</v>
      </c>
      <c r="BJ37" s="253">
        <v>0</v>
      </c>
      <c r="BK37" s="253">
        <v>0</v>
      </c>
      <c r="BL37" s="253">
        <v>0</v>
      </c>
      <c r="BM37" s="253">
        <v>0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47955.984405989999</v>
      </c>
      <c r="I38" s="164"/>
      <c r="J38" s="157"/>
      <c r="K38" s="228"/>
      <c r="L38" s="228"/>
      <c r="M38" s="228"/>
      <c r="O38" s="241" t="s">
        <v>56</v>
      </c>
      <c r="P38" s="241">
        <v>46726.588596660004</v>
      </c>
      <c r="Q38" s="239"/>
      <c r="R38" s="157"/>
      <c r="S38" s="253" t="s">
        <v>447</v>
      </c>
      <c r="T38" s="258">
        <v>473884143.33999997</v>
      </c>
      <c r="U38" s="258">
        <v>158438</v>
      </c>
      <c r="V38" s="258">
        <v>157</v>
      </c>
      <c r="W38" s="258">
        <v>996186</v>
      </c>
      <c r="X38" s="258">
        <v>0</v>
      </c>
      <c r="Y38" s="245"/>
      <c r="Z38" s="253" t="s">
        <v>607</v>
      </c>
      <c r="AA38" s="253">
        <v>1544587240.69999</v>
      </c>
      <c r="AB38" s="253">
        <v>33714</v>
      </c>
      <c r="AC38" s="253">
        <v>4953</v>
      </c>
      <c r="AD38" s="253">
        <v>1122268</v>
      </c>
      <c r="AE38" s="253">
        <v>0</v>
      </c>
      <c r="AF38" s="253"/>
      <c r="AG38" s="253" t="s">
        <v>607</v>
      </c>
      <c r="AH38" s="253">
        <v>20346421.350000001</v>
      </c>
      <c r="AI38" s="253">
        <v>1047</v>
      </c>
      <c r="AJ38" s="253">
        <v>193</v>
      </c>
      <c r="AK38" s="253">
        <v>55078</v>
      </c>
      <c r="AL38" s="253">
        <v>0</v>
      </c>
      <c r="AM38" s="245"/>
      <c r="AN38" s="253" t="s">
        <v>607</v>
      </c>
      <c r="AO38" s="253">
        <v>1284075241.1600001</v>
      </c>
      <c r="AP38" s="253">
        <v>40573</v>
      </c>
      <c r="AQ38" s="253">
        <v>4438</v>
      </c>
      <c r="AR38" s="253">
        <v>777612</v>
      </c>
      <c r="AS38" s="253">
        <v>0</v>
      </c>
      <c r="AT38" s="245"/>
      <c r="AU38" s="253" t="s">
        <v>607</v>
      </c>
      <c r="AV38" s="253">
        <v>12194936.960000001</v>
      </c>
      <c r="AW38" s="253">
        <v>618</v>
      </c>
      <c r="AX38" s="253">
        <v>76</v>
      </c>
      <c r="AY38" s="253">
        <v>47050</v>
      </c>
      <c r="AZ38" s="253">
        <v>0</v>
      </c>
      <c r="BA38" s="245"/>
      <c r="BB38" s="253" t="s">
        <v>605</v>
      </c>
      <c r="BC38" s="253">
        <v>0</v>
      </c>
      <c r="BD38" s="253">
        <v>0</v>
      </c>
      <c r="BE38" s="253">
        <v>0</v>
      </c>
      <c r="BF38" s="253">
        <v>0</v>
      </c>
      <c r="BG38" s="253">
        <v>0</v>
      </c>
      <c r="BH38" s="247" t="s">
        <v>605</v>
      </c>
      <c r="BI38" s="253">
        <v>0</v>
      </c>
      <c r="BJ38" s="253">
        <v>0</v>
      </c>
      <c r="BK38" s="253">
        <v>0</v>
      </c>
      <c r="BL38" s="253">
        <v>0</v>
      </c>
      <c r="BM38" s="253">
        <v>0</v>
      </c>
      <c r="BN38" s="253"/>
      <c r="BO38" s="247"/>
      <c r="BP38" s="263">
        <v>281811426723.90997</v>
      </c>
      <c r="BQ38" s="263">
        <v>2517737</v>
      </c>
      <c r="BR38" s="263">
        <v>2086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71195.933678419999</v>
      </c>
      <c r="I39" s="164"/>
      <c r="J39" s="157"/>
      <c r="K39" s="228"/>
      <c r="L39" s="228"/>
      <c r="M39" s="228"/>
      <c r="O39" s="241" t="s">
        <v>45</v>
      </c>
      <c r="P39" s="241">
        <v>69847.91471338</v>
      </c>
      <c r="Q39" s="239"/>
      <c r="R39" s="157"/>
      <c r="S39" s="253" t="s">
        <v>570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608</v>
      </c>
      <c r="AA39" s="253">
        <v>167399560.41999999</v>
      </c>
      <c r="AB39" s="253">
        <v>14456</v>
      </c>
      <c r="AC39" s="253">
        <v>495</v>
      </c>
      <c r="AD39" s="253">
        <v>412029</v>
      </c>
      <c r="AE39" s="253">
        <v>0</v>
      </c>
      <c r="AF39" s="253"/>
      <c r="AG39" s="253" t="s">
        <v>608</v>
      </c>
      <c r="AH39" s="253">
        <v>3672276.8</v>
      </c>
      <c r="AI39" s="253">
        <v>547</v>
      </c>
      <c r="AJ39" s="253">
        <v>54</v>
      </c>
      <c r="AK39" s="253">
        <v>21167</v>
      </c>
      <c r="AL39" s="253">
        <v>0</v>
      </c>
      <c r="AM39" s="245"/>
      <c r="AN39" s="253" t="s">
        <v>608</v>
      </c>
      <c r="AO39" s="253">
        <v>146116805.24000001</v>
      </c>
      <c r="AP39" s="253">
        <v>7927</v>
      </c>
      <c r="AQ39" s="253">
        <v>680</v>
      </c>
      <c r="AR39" s="253">
        <v>267335</v>
      </c>
      <c r="AS39" s="253">
        <v>0</v>
      </c>
      <c r="AT39" s="245"/>
      <c r="AU39" s="253" t="s">
        <v>608</v>
      </c>
      <c r="AV39" s="253">
        <v>306935</v>
      </c>
      <c r="AW39" s="253">
        <v>35</v>
      </c>
      <c r="AX39" s="253">
        <v>11</v>
      </c>
      <c r="AY39" s="253">
        <v>16623</v>
      </c>
      <c r="AZ39" s="253">
        <v>0</v>
      </c>
      <c r="BA39" s="245"/>
      <c r="BB39" s="253" t="s">
        <v>606</v>
      </c>
      <c r="BC39" s="253">
        <v>15468385.550000001</v>
      </c>
      <c r="BD39" s="253">
        <v>1947</v>
      </c>
      <c r="BE39" s="253">
        <v>260</v>
      </c>
      <c r="BF39" s="253">
        <v>85686</v>
      </c>
      <c r="BG39" s="253">
        <v>0</v>
      </c>
      <c r="BH39" s="247" t="s">
        <v>606</v>
      </c>
      <c r="BI39" s="253">
        <v>2800</v>
      </c>
      <c r="BJ39" s="253">
        <v>1</v>
      </c>
      <c r="BK39" s="253">
        <v>1</v>
      </c>
      <c r="BL39" s="253">
        <v>4247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50792.08527738</v>
      </c>
      <c r="I40" s="164"/>
      <c r="J40" s="157"/>
      <c r="K40" s="228"/>
      <c r="L40" s="228"/>
      <c r="M40" s="228"/>
      <c r="O40" s="241" t="s">
        <v>47</v>
      </c>
      <c r="P40" s="241">
        <v>49935.077269519999</v>
      </c>
      <c r="Q40" s="239"/>
      <c r="R40" s="157"/>
      <c r="S40" s="253" t="s">
        <v>451</v>
      </c>
      <c r="T40" s="258">
        <v>4770151761.0050001</v>
      </c>
      <c r="U40" s="258">
        <v>263126</v>
      </c>
      <c r="V40" s="258">
        <v>96</v>
      </c>
      <c r="W40" s="258">
        <v>137792</v>
      </c>
      <c r="X40" s="258">
        <v>1</v>
      </c>
      <c r="Y40" s="245"/>
      <c r="Z40" s="253" t="s">
        <v>609</v>
      </c>
      <c r="AA40" s="253">
        <v>0</v>
      </c>
      <c r="AB40" s="253">
        <v>0</v>
      </c>
      <c r="AC40" s="253">
        <v>0</v>
      </c>
      <c r="AD40" s="253">
        <v>0</v>
      </c>
      <c r="AE40" s="253">
        <v>1</v>
      </c>
      <c r="AF40" s="253"/>
      <c r="AG40" s="253" t="s">
        <v>609</v>
      </c>
      <c r="AH40" s="253">
        <v>0</v>
      </c>
      <c r="AI40" s="253">
        <v>0</v>
      </c>
      <c r="AJ40" s="253">
        <v>0</v>
      </c>
      <c r="AK40" s="253">
        <v>0</v>
      </c>
      <c r="AL40" s="253">
        <v>1</v>
      </c>
      <c r="AM40" s="245"/>
      <c r="AN40" s="253" t="s">
        <v>609</v>
      </c>
      <c r="AO40" s="253">
        <v>0</v>
      </c>
      <c r="AP40" s="253">
        <v>0</v>
      </c>
      <c r="AQ40" s="253">
        <v>0</v>
      </c>
      <c r="AR40" s="253">
        <v>0</v>
      </c>
      <c r="AS40" s="253">
        <v>1</v>
      </c>
      <c r="AT40" s="245"/>
      <c r="AU40" s="253" t="s">
        <v>609</v>
      </c>
      <c r="AV40" s="253">
        <v>0</v>
      </c>
      <c r="AW40" s="253">
        <v>0</v>
      </c>
      <c r="AX40" s="253">
        <v>0</v>
      </c>
      <c r="AY40" s="253">
        <v>0</v>
      </c>
      <c r="AZ40" s="253">
        <v>1</v>
      </c>
      <c r="BA40" s="245"/>
      <c r="BB40" s="253" t="s">
        <v>607</v>
      </c>
      <c r="BC40" s="253">
        <v>188864105.15000001</v>
      </c>
      <c r="BD40" s="253">
        <v>22044</v>
      </c>
      <c r="BE40" s="253">
        <v>2795</v>
      </c>
      <c r="BF40" s="253">
        <v>804513</v>
      </c>
      <c r="BG40" s="253">
        <v>0</v>
      </c>
      <c r="BH40" s="247" t="s">
        <v>607</v>
      </c>
      <c r="BI40" s="253">
        <v>5565378.3600000003</v>
      </c>
      <c r="BJ40" s="253">
        <v>741</v>
      </c>
      <c r="BK40" s="253">
        <v>124</v>
      </c>
      <c r="BL40" s="253">
        <v>40098</v>
      </c>
      <c r="BM40" s="253">
        <v>0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54156.749000260003</v>
      </c>
      <c r="I41" s="164"/>
      <c r="J41" s="157"/>
      <c r="K41" s="228"/>
      <c r="L41" s="228"/>
      <c r="M41" s="228"/>
      <c r="O41" s="241" t="s">
        <v>43</v>
      </c>
      <c r="P41" s="241">
        <v>52736.855850899999</v>
      </c>
      <c r="Q41" s="239"/>
      <c r="R41" s="157"/>
      <c r="S41" s="253" t="s">
        <v>448</v>
      </c>
      <c r="T41" s="258">
        <v>220772.94</v>
      </c>
      <c r="U41" s="258">
        <v>901175</v>
      </c>
      <c r="V41" s="258">
        <v>6006</v>
      </c>
      <c r="W41" s="258">
        <v>719512</v>
      </c>
      <c r="X41" s="258">
        <v>1</v>
      </c>
      <c r="Y41" s="245"/>
      <c r="Z41" s="253" t="s">
        <v>571</v>
      </c>
      <c r="AA41" s="253">
        <v>5668399518.2049999</v>
      </c>
      <c r="AB41" s="253">
        <v>25160</v>
      </c>
      <c r="AC41" s="253">
        <v>2960</v>
      </c>
      <c r="AD41" s="253">
        <v>406665</v>
      </c>
      <c r="AE41" s="253">
        <v>1</v>
      </c>
      <c r="AF41" s="253"/>
      <c r="AG41" s="253" t="s">
        <v>571</v>
      </c>
      <c r="AH41" s="253">
        <v>388668271.39499998</v>
      </c>
      <c r="AI41" s="253">
        <v>1728</v>
      </c>
      <c r="AJ41" s="253">
        <v>120</v>
      </c>
      <c r="AK41" s="253">
        <v>18066</v>
      </c>
      <c r="AL41" s="253">
        <v>1</v>
      </c>
      <c r="AM41" s="245"/>
      <c r="AN41" s="253" t="s">
        <v>571</v>
      </c>
      <c r="AO41" s="253">
        <v>7475439462</v>
      </c>
      <c r="AP41" s="253">
        <v>33947</v>
      </c>
      <c r="AQ41" s="253">
        <v>3538</v>
      </c>
      <c r="AR41" s="253">
        <v>339485</v>
      </c>
      <c r="AS41" s="253">
        <v>1</v>
      </c>
      <c r="AT41" s="245"/>
      <c r="AU41" s="253" t="s">
        <v>571</v>
      </c>
      <c r="AV41" s="253">
        <v>234682727.995</v>
      </c>
      <c r="AW41" s="253">
        <v>1037</v>
      </c>
      <c r="AX41" s="253">
        <v>170</v>
      </c>
      <c r="AY41" s="253">
        <v>19116</v>
      </c>
      <c r="AZ41" s="253">
        <v>1</v>
      </c>
      <c r="BA41" s="245"/>
      <c r="BB41" s="253" t="s">
        <v>608</v>
      </c>
      <c r="BC41" s="253">
        <v>68752486.269999996</v>
      </c>
      <c r="BD41" s="253">
        <v>8534</v>
      </c>
      <c r="BE41" s="253">
        <v>497</v>
      </c>
      <c r="BF41" s="253">
        <v>246941</v>
      </c>
      <c r="BG41" s="253">
        <v>0</v>
      </c>
      <c r="BH41" s="247" t="s">
        <v>608</v>
      </c>
      <c r="BI41" s="253">
        <v>2537145</v>
      </c>
      <c r="BJ41" s="253">
        <v>408</v>
      </c>
      <c r="BK41" s="253">
        <v>33</v>
      </c>
      <c r="BL41" s="253">
        <v>13118</v>
      </c>
      <c r="BM41" s="253">
        <v>0</v>
      </c>
      <c r="BN41" s="253"/>
      <c r="BO41" s="245"/>
      <c r="BP41" s="263">
        <v>6370872761</v>
      </c>
      <c r="BQ41" s="263">
        <v>60405</v>
      </c>
      <c r="BR41" s="263">
        <v>99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6615.5290075499997</v>
      </c>
      <c r="I42" s="164"/>
      <c r="J42" s="157"/>
      <c r="K42" s="228"/>
      <c r="L42" s="228"/>
      <c r="M42" s="228"/>
      <c r="O42" s="241" t="s">
        <v>49</v>
      </c>
      <c r="P42" s="241">
        <v>6692.0792956499999</v>
      </c>
      <c r="Q42" s="239"/>
      <c r="R42" s="157"/>
      <c r="S42" s="253" t="s">
        <v>182</v>
      </c>
      <c r="T42" s="258">
        <v>37053523.960000001</v>
      </c>
      <c r="U42" s="258">
        <v>846883</v>
      </c>
      <c r="V42" s="258">
        <v>82</v>
      </c>
      <c r="W42" s="258">
        <v>2414147</v>
      </c>
      <c r="X42" s="258">
        <v>1</v>
      </c>
      <c r="Y42" s="245"/>
      <c r="Z42" s="253" t="s">
        <v>572</v>
      </c>
      <c r="AA42" s="253">
        <v>68801138.349999994</v>
      </c>
      <c r="AB42" s="253">
        <v>836</v>
      </c>
      <c r="AC42" s="253">
        <v>48</v>
      </c>
      <c r="AD42" s="253">
        <v>31056</v>
      </c>
      <c r="AE42" s="253">
        <v>1</v>
      </c>
      <c r="AF42" s="253"/>
      <c r="AG42" s="253" t="s">
        <v>572</v>
      </c>
      <c r="AH42" s="253">
        <v>0</v>
      </c>
      <c r="AI42" s="253">
        <v>0</v>
      </c>
      <c r="AJ42" s="253">
        <v>0</v>
      </c>
      <c r="AK42" s="253">
        <v>1311</v>
      </c>
      <c r="AL42" s="253">
        <v>1</v>
      </c>
      <c r="AM42" s="245"/>
      <c r="AN42" s="253" t="s">
        <v>572</v>
      </c>
      <c r="AO42" s="253">
        <v>551116879.50999999</v>
      </c>
      <c r="AP42" s="253">
        <v>6205</v>
      </c>
      <c r="AQ42" s="253">
        <v>66</v>
      </c>
      <c r="AR42" s="253">
        <v>32974</v>
      </c>
      <c r="AS42" s="253">
        <v>1</v>
      </c>
      <c r="AT42" s="245"/>
      <c r="AU42" s="253" t="s">
        <v>572</v>
      </c>
      <c r="AV42" s="253">
        <v>0</v>
      </c>
      <c r="AW42" s="253">
        <v>0</v>
      </c>
      <c r="AX42" s="253">
        <v>0</v>
      </c>
      <c r="AY42" s="253">
        <v>1708</v>
      </c>
      <c r="AZ42" s="253">
        <v>1</v>
      </c>
      <c r="BA42" s="245"/>
      <c r="BB42" s="253" t="s">
        <v>609</v>
      </c>
      <c r="BC42" s="253">
        <v>0</v>
      </c>
      <c r="BD42" s="253">
        <v>0</v>
      </c>
      <c r="BE42" s="253">
        <v>0</v>
      </c>
      <c r="BF42" s="253">
        <v>0</v>
      </c>
      <c r="BG42" s="253">
        <v>1</v>
      </c>
      <c r="BH42" s="247" t="s">
        <v>609</v>
      </c>
      <c r="BI42" s="253">
        <v>0</v>
      </c>
      <c r="BJ42" s="253">
        <v>0</v>
      </c>
      <c r="BK42" s="253">
        <v>0</v>
      </c>
      <c r="BL42" s="253">
        <v>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53413.921057150001</v>
      </c>
      <c r="I43" s="164"/>
      <c r="J43" s="157"/>
      <c r="K43" s="228"/>
      <c r="L43" s="228"/>
      <c r="M43" s="228"/>
      <c r="O43" s="241" t="s">
        <v>547</v>
      </c>
      <c r="P43" s="241">
        <v>51922.187959670002</v>
      </c>
      <c r="Q43" s="239"/>
      <c r="S43" s="245" t="s">
        <v>446</v>
      </c>
      <c r="T43" s="245">
        <v>648262641660.50049</v>
      </c>
      <c r="U43" s="245">
        <v>2377134</v>
      </c>
      <c r="V43" s="245">
        <v>276558</v>
      </c>
      <c r="W43" s="245">
        <v>509151</v>
      </c>
      <c r="X43" s="245">
        <v>1</v>
      </c>
      <c r="Y43" s="245"/>
      <c r="Z43" s="253" t="s">
        <v>573</v>
      </c>
      <c r="AA43" s="253">
        <v>2658600.6</v>
      </c>
      <c r="AB43" s="253">
        <v>45</v>
      </c>
      <c r="AC43" s="253">
        <v>18</v>
      </c>
      <c r="AD43" s="253">
        <v>689</v>
      </c>
      <c r="AE43" s="253">
        <v>1</v>
      </c>
      <c r="AF43" s="253"/>
      <c r="AG43" s="253" t="s">
        <v>573</v>
      </c>
      <c r="AH43" s="253">
        <v>0</v>
      </c>
      <c r="AI43" s="253">
        <v>0</v>
      </c>
      <c r="AJ43" s="253">
        <v>0</v>
      </c>
      <c r="AK43" s="253">
        <v>31</v>
      </c>
      <c r="AL43" s="253">
        <v>1</v>
      </c>
      <c r="AM43" s="245"/>
      <c r="AN43" s="253" t="s">
        <v>573</v>
      </c>
      <c r="AO43" s="253">
        <v>13116180.1</v>
      </c>
      <c r="AP43" s="253">
        <v>233</v>
      </c>
      <c r="AQ43" s="253">
        <v>28</v>
      </c>
      <c r="AR43" s="253">
        <v>2534</v>
      </c>
      <c r="AS43" s="253">
        <v>1</v>
      </c>
      <c r="AT43" s="245"/>
      <c r="AU43" s="253" t="s">
        <v>573</v>
      </c>
      <c r="AV43" s="253">
        <v>54570</v>
      </c>
      <c r="AW43" s="253">
        <v>1</v>
      </c>
      <c r="AX43" s="253">
        <v>1</v>
      </c>
      <c r="AY43" s="253">
        <v>41</v>
      </c>
      <c r="AZ43" s="253">
        <v>1</v>
      </c>
      <c r="BA43" s="245"/>
      <c r="BB43" s="253" t="s">
        <v>571</v>
      </c>
      <c r="BC43" s="253">
        <v>4818524892.9049997</v>
      </c>
      <c r="BD43" s="253">
        <v>25683</v>
      </c>
      <c r="BE43" s="253">
        <v>3926</v>
      </c>
      <c r="BF43" s="253">
        <v>313580</v>
      </c>
      <c r="BG43" s="253">
        <v>1</v>
      </c>
      <c r="BH43" s="247" t="s">
        <v>571</v>
      </c>
      <c r="BI43" s="253">
        <v>279676107.63</v>
      </c>
      <c r="BJ43" s="253">
        <v>1558</v>
      </c>
      <c r="BK43" s="253">
        <v>124</v>
      </c>
      <c r="BL43" s="253">
        <v>15895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548</v>
      </c>
      <c r="H44" s="223">
        <v>52693.468226880002</v>
      </c>
      <c r="I44" s="164"/>
      <c r="J44" s="157"/>
      <c r="K44" s="228"/>
      <c r="L44" s="228"/>
      <c r="M44" s="228"/>
      <c r="O44" s="241" t="s">
        <v>548</v>
      </c>
      <c r="P44" s="241">
        <v>51295.085892789997</v>
      </c>
      <c r="Q44" s="239"/>
      <c r="S44" s="245" t="s">
        <v>449</v>
      </c>
      <c r="T44" s="245">
        <v>2448683138.2680001</v>
      </c>
      <c r="U44" s="245">
        <v>3624991</v>
      </c>
      <c r="V44" s="245">
        <v>241</v>
      </c>
      <c r="W44" s="245">
        <v>1684867</v>
      </c>
      <c r="X44" s="245">
        <v>1</v>
      </c>
      <c r="Y44" s="245"/>
      <c r="Z44" s="253" t="s">
        <v>574</v>
      </c>
      <c r="AA44" s="253">
        <v>0</v>
      </c>
      <c r="AB44" s="253">
        <v>0</v>
      </c>
      <c r="AC44" s="253">
        <v>0</v>
      </c>
      <c r="AD44" s="253">
        <v>0</v>
      </c>
      <c r="AE44" s="253">
        <v>1</v>
      </c>
      <c r="AF44" s="253"/>
      <c r="AG44" s="253" t="s">
        <v>574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574</v>
      </c>
      <c r="AO44" s="253">
        <v>0</v>
      </c>
      <c r="AP44" s="253">
        <v>0</v>
      </c>
      <c r="AQ44" s="253">
        <v>0</v>
      </c>
      <c r="AR44" s="253">
        <v>0</v>
      </c>
      <c r="AS44" s="253">
        <v>1</v>
      </c>
      <c r="AT44" s="245"/>
      <c r="AU44" s="253" t="s">
        <v>574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613</v>
      </c>
      <c r="BC44" s="253">
        <v>34417500</v>
      </c>
      <c r="BD44" s="253">
        <v>500</v>
      </c>
      <c r="BE44" s="253">
        <v>4</v>
      </c>
      <c r="BF44" s="253">
        <v>3625</v>
      </c>
      <c r="BG44" s="253">
        <v>1</v>
      </c>
      <c r="BH44" s="247" t="s">
        <v>613</v>
      </c>
      <c r="BI44" s="253">
        <v>8738750</v>
      </c>
      <c r="BJ44" s="253">
        <v>125</v>
      </c>
      <c r="BK44" s="253">
        <v>1</v>
      </c>
      <c r="BL44" s="253">
        <v>250</v>
      </c>
      <c r="BM44" s="253">
        <v>1</v>
      </c>
      <c r="BN44" s="253"/>
      <c r="BO44" s="247"/>
      <c r="BP44" s="263">
        <v>1378397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3884.6790724000002</v>
      </c>
      <c r="I45" s="164"/>
      <c r="J45" s="157"/>
      <c r="K45" s="228"/>
      <c r="L45" s="228"/>
      <c r="M45" s="228"/>
      <c r="O45" s="241" t="s">
        <v>282</v>
      </c>
      <c r="P45" s="241">
        <v>3491.7043793500002</v>
      </c>
      <c r="Q45" s="239"/>
      <c r="S45" s="254" t="s">
        <v>450</v>
      </c>
      <c r="T45" s="257">
        <v>52911176.18</v>
      </c>
      <c r="U45" s="257">
        <v>3470367</v>
      </c>
      <c r="V45" s="257">
        <v>237</v>
      </c>
      <c r="W45" s="257">
        <v>1594981</v>
      </c>
      <c r="X45" s="257">
        <v>1</v>
      </c>
      <c r="Y45" s="245"/>
      <c r="Z45" s="253" t="s">
        <v>575</v>
      </c>
      <c r="AA45" s="253">
        <v>1155000</v>
      </c>
      <c r="AB45" s="253">
        <v>28</v>
      </c>
      <c r="AC45" s="253">
        <v>6</v>
      </c>
      <c r="AD45" s="253">
        <v>2590</v>
      </c>
      <c r="AE45" s="253">
        <v>1</v>
      </c>
      <c r="AF45" s="253"/>
      <c r="AG45" s="253" t="s">
        <v>575</v>
      </c>
      <c r="AH45" s="253">
        <v>0</v>
      </c>
      <c r="AI45" s="253">
        <v>0</v>
      </c>
      <c r="AJ45" s="253">
        <v>0</v>
      </c>
      <c r="AK45" s="253">
        <v>122</v>
      </c>
      <c r="AL45" s="253">
        <v>1</v>
      </c>
      <c r="AM45" s="245"/>
      <c r="AN45" s="253" t="s">
        <v>575</v>
      </c>
      <c r="AO45" s="253">
        <v>769500</v>
      </c>
      <c r="AP45" s="253">
        <v>19</v>
      </c>
      <c r="AQ45" s="253">
        <v>8</v>
      </c>
      <c r="AR45" s="253">
        <v>1716</v>
      </c>
      <c r="AS45" s="253">
        <v>1</v>
      </c>
      <c r="AT45" s="245"/>
      <c r="AU45" s="253" t="s">
        <v>575</v>
      </c>
      <c r="AV45" s="253">
        <v>0</v>
      </c>
      <c r="AW45" s="253">
        <v>0</v>
      </c>
      <c r="AX45" s="253">
        <v>0</v>
      </c>
      <c r="AY45" s="253">
        <v>108</v>
      </c>
      <c r="AZ45" s="253">
        <v>1</v>
      </c>
      <c r="BA45" s="245"/>
      <c r="BB45" s="253" t="s">
        <v>572</v>
      </c>
      <c r="BC45" s="253">
        <v>101535128.72</v>
      </c>
      <c r="BD45" s="253">
        <v>1218</v>
      </c>
      <c r="BE45" s="253">
        <v>94</v>
      </c>
      <c r="BF45" s="253">
        <v>62715</v>
      </c>
      <c r="BG45" s="253">
        <v>1</v>
      </c>
      <c r="BH45" s="247" t="s">
        <v>572</v>
      </c>
      <c r="BI45" s="253">
        <v>9456135.4000000004</v>
      </c>
      <c r="BJ45" s="253">
        <v>117</v>
      </c>
      <c r="BK45" s="253">
        <v>10</v>
      </c>
      <c r="BL45" s="253">
        <v>2831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42155.083364190003</v>
      </c>
      <c r="I46" s="164"/>
      <c r="J46" s="157"/>
      <c r="K46" s="228"/>
      <c r="L46" s="228"/>
      <c r="M46" s="228"/>
      <c r="O46" s="241" t="s">
        <v>61</v>
      </c>
      <c r="P46" s="241">
        <v>41046.025510599997</v>
      </c>
      <c r="Q46" s="239"/>
      <c r="S46" s="253" t="s">
        <v>447</v>
      </c>
      <c r="T46" s="258">
        <v>12727014408.24</v>
      </c>
      <c r="U46" s="258">
        <v>1318432</v>
      </c>
      <c r="V46" s="258">
        <v>6209</v>
      </c>
      <c r="W46" s="258">
        <v>892191</v>
      </c>
      <c r="X46" s="258">
        <v>1</v>
      </c>
      <c r="Y46" s="245"/>
      <c r="Z46" s="253" t="s">
        <v>576</v>
      </c>
      <c r="AA46" s="253">
        <v>1108000</v>
      </c>
      <c r="AB46" s="253">
        <v>12</v>
      </c>
      <c r="AC46" s="253">
        <v>3</v>
      </c>
      <c r="AD46" s="253">
        <v>2094</v>
      </c>
      <c r="AE46" s="253">
        <v>1</v>
      </c>
      <c r="AF46" s="253"/>
      <c r="AG46" s="253" t="s">
        <v>576</v>
      </c>
      <c r="AH46" s="253">
        <v>0</v>
      </c>
      <c r="AI46" s="253">
        <v>0</v>
      </c>
      <c r="AJ46" s="253">
        <v>0</v>
      </c>
      <c r="AK46" s="253">
        <v>87</v>
      </c>
      <c r="AL46" s="253">
        <v>1</v>
      </c>
      <c r="AM46" s="245"/>
      <c r="AN46" s="253" t="s">
        <v>576</v>
      </c>
      <c r="AO46" s="253">
        <v>6933375</v>
      </c>
      <c r="AP46" s="253">
        <v>70</v>
      </c>
      <c r="AQ46" s="253">
        <v>14</v>
      </c>
      <c r="AR46" s="253">
        <v>2210</v>
      </c>
      <c r="AS46" s="253">
        <v>1</v>
      </c>
      <c r="AT46" s="245"/>
      <c r="AU46" s="253" t="s">
        <v>576</v>
      </c>
      <c r="AV46" s="253">
        <v>0</v>
      </c>
      <c r="AW46" s="253">
        <v>0</v>
      </c>
      <c r="AX46" s="253">
        <v>0</v>
      </c>
      <c r="AY46" s="253">
        <v>97</v>
      </c>
      <c r="AZ46" s="253">
        <v>1</v>
      </c>
      <c r="BA46" s="245"/>
      <c r="BB46" s="253" t="s">
        <v>573</v>
      </c>
      <c r="BC46" s="253">
        <v>136050</v>
      </c>
      <c r="BD46" s="253">
        <v>2</v>
      </c>
      <c r="BE46" s="253">
        <v>2</v>
      </c>
      <c r="BF46" s="253">
        <v>3</v>
      </c>
      <c r="BG46" s="253">
        <v>1</v>
      </c>
      <c r="BH46" s="247" t="s">
        <v>573</v>
      </c>
      <c r="BI46" s="253">
        <v>0</v>
      </c>
      <c r="BJ46" s="253">
        <v>0</v>
      </c>
      <c r="BK46" s="253">
        <v>0</v>
      </c>
      <c r="BL46" s="253">
        <v>0</v>
      </c>
      <c r="BM46" s="253">
        <v>1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64225.417497139999</v>
      </c>
      <c r="I47" s="164"/>
      <c r="J47" s="159"/>
      <c r="K47" s="228"/>
      <c r="L47" s="228"/>
      <c r="M47" s="228"/>
      <c r="O47" s="241" t="s">
        <v>65</v>
      </c>
      <c r="P47" s="241">
        <v>63684.35176374</v>
      </c>
      <c r="Q47" s="239"/>
      <c r="S47" s="253"/>
      <c r="T47" s="258"/>
      <c r="U47" s="258"/>
      <c r="V47" s="258"/>
      <c r="W47" s="258"/>
      <c r="X47" s="258"/>
      <c r="Y47" s="245"/>
      <c r="Z47" s="253" t="s">
        <v>577</v>
      </c>
      <c r="AA47" s="253">
        <v>0</v>
      </c>
      <c r="AB47" s="253">
        <v>0</v>
      </c>
      <c r="AC47" s="253">
        <v>0</v>
      </c>
      <c r="AD47" s="253">
        <v>0</v>
      </c>
      <c r="AE47" s="253">
        <v>1</v>
      </c>
      <c r="AF47" s="253"/>
      <c r="AG47" s="253" t="s">
        <v>577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577</v>
      </c>
      <c r="AO47" s="253">
        <v>0</v>
      </c>
      <c r="AP47" s="253">
        <v>0</v>
      </c>
      <c r="AQ47" s="253">
        <v>0</v>
      </c>
      <c r="AR47" s="253">
        <v>0</v>
      </c>
      <c r="AS47" s="253">
        <v>1</v>
      </c>
      <c r="AT47" s="245"/>
      <c r="AU47" s="253" t="s">
        <v>577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574</v>
      </c>
      <c r="BC47" s="253">
        <v>0</v>
      </c>
      <c r="BD47" s="253">
        <v>0</v>
      </c>
      <c r="BE47" s="253">
        <v>0</v>
      </c>
      <c r="BF47" s="253">
        <v>0</v>
      </c>
      <c r="BG47" s="253">
        <v>1</v>
      </c>
      <c r="BH47" s="247" t="s">
        <v>574</v>
      </c>
      <c r="BI47" s="253">
        <v>0</v>
      </c>
      <c r="BJ47" s="253">
        <v>0</v>
      </c>
      <c r="BK47" s="253">
        <v>0</v>
      </c>
      <c r="BL47" s="253">
        <v>0</v>
      </c>
      <c r="BM47" s="253">
        <v>1</v>
      </c>
      <c r="BN47" s="253"/>
      <c r="BO47" s="247"/>
      <c r="BP47" s="263">
        <v>153746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17486.213407830001</v>
      </c>
      <c r="I48" s="164"/>
      <c r="J48" s="159"/>
      <c r="K48" s="228"/>
      <c r="L48" s="228"/>
      <c r="M48" s="228"/>
      <c r="O48" s="241" t="s">
        <v>67</v>
      </c>
      <c r="P48" s="241">
        <v>16379.972834</v>
      </c>
      <c r="Q48" s="239"/>
      <c r="S48" s="253"/>
      <c r="T48" s="258"/>
      <c r="U48" s="258"/>
      <c r="V48" s="258"/>
      <c r="W48" s="258"/>
      <c r="X48" s="258"/>
      <c r="Y48" s="245"/>
      <c r="Z48" s="253" t="s">
        <v>578</v>
      </c>
      <c r="AA48" s="253">
        <v>2576898521.4000001</v>
      </c>
      <c r="AB48" s="253">
        <v>12005</v>
      </c>
      <c r="AC48" s="253">
        <v>610</v>
      </c>
      <c r="AD48" s="253">
        <v>206585</v>
      </c>
      <c r="AE48" s="253">
        <v>1</v>
      </c>
      <c r="AF48" s="253"/>
      <c r="AG48" s="253" t="s">
        <v>578</v>
      </c>
      <c r="AH48" s="253">
        <v>136110179.47999999</v>
      </c>
      <c r="AI48" s="253">
        <v>647</v>
      </c>
      <c r="AJ48" s="253">
        <v>20</v>
      </c>
      <c r="AK48" s="253">
        <v>7705</v>
      </c>
      <c r="AL48" s="253">
        <v>1</v>
      </c>
      <c r="AM48" s="245"/>
      <c r="AN48" s="253" t="s">
        <v>578</v>
      </c>
      <c r="AO48" s="253">
        <v>3027628970.1599998</v>
      </c>
      <c r="AP48" s="253">
        <v>13529</v>
      </c>
      <c r="AQ48" s="253">
        <v>845</v>
      </c>
      <c r="AR48" s="253">
        <v>241057</v>
      </c>
      <c r="AS48" s="253">
        <v>1</v>
      </c>
      <c r="AT48" s="245"/>
      <c r="AU48" s="253" t="s">
        <v>578</v>
      </c>
      <c r="AV48" s="253">
        <v>51499199.539999999</v>
      </c>
      <c r="AW48" s="253">
        <v>229</v>
      </c>
      <c r="AX48" s="253">
        <v>10</v>
      </c>
      <c r="AY48" s="253">
        <v>11396</v>
      </c>
      <c r="AZ48" s="253">
        <v>1</v>
      </c>
      <c r="BA48" s="245"/>
      <c r="BB48" s="253" t="s">
        <v>575</v>
      </c>
      <c r="BC48" s="253">
        <v>2472112.5</v>
      </c>
      <c r="BD48" s="253">
        <v>51</v>
      </c>
      <c r="BE48" s="253">
        <v>7</v>
      </c>
      <c r="BF48" s="253">
        <v>759</v>
      </c>
      <c r="BG48" s="253">
        <v>1</v>
      </c>
      <c r="BH48" s="247" t="s">
        <v>575</v>
      </c>
      <c r="BI48" s="253">
        <v>0</v>
      </c>
      <c r="BJ48" s="253">
        <v>0</v>
      </c>
      <c r="BK48" s="253">
        <v>0</v>
      </c>
      <c r="BL48" s="253">
        <v>29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71875.082250120002</v>
      </c>
      <c r="I49" s="164"/>
      <c r="J49" s="159"/>
      <c r="K49" s="228"/>
      <c r="L49" s="228"/>
      <c r="M49" s="228"/>
      <c r="O49" s="241" t="s">
        <v>69</v>
      </c>
      <c r="P49" s="241">
        <v>69750.309821169998</v>
      </c>
      <c r="Q49" s="239"/>
      <c r="S49" s="253"/>
      <c r="T49" s="258"/>
      <c r="U49" s="258"/>
      <c r="V49" s="258"/>
      <c r="W49" s="258"/>
      <c r="X49" s="258"/>
      <c r="Y49" s="245"/>
      <c r="Z49" s="253" t="s">
        <v>579</v>
      </c>
      <c r="AA49" s="253">
        <v>23991062.5</v>
      </c>
      <c r="AB49" s="253">
        <v>1223</v>
      </c>
      <c r="AC49" s="253">
        <v>47</v>
      </c>
      <c r="AD49" s="253">
        <v>51136</v>
      </c>
      <c r="AE49" s="253">
        <v>1</v>
      </c>
      <c r="AF49" s="253"/>
      <c r="AG49" s="253" t="s">
        <v>579</v>
      </c>
      <c r="AH49" s="253">
        <v>0</v>
      </c>
      <c r="AI49" s="253">
        <v>0</v>
      </c>
      <c r="AJ49" s="253">
        <v>0</v>
      </c>
      <c r="AK49" s="253">
        <v>2592</v>
      </c>
      <c r="AL49" s="253">
        <v>1</v>
      </c>
      <c r="AM49" s="245"/>
      <c r="AN49" s="253" t="s">
        <v>579</v>
      </c>
      <c r="AO49" s="253">
        <v>17505689.5</v>
      </c>
      <c r="AP49" s="253">
        <v>913</v>
      </c>
      <c r="AQ49" s="253">
        <v>53</v>
      </c>
      <c r="AR49" s="253">
        <v>28994</v>
      </c>
      <c r="AS49" s="253">
        <v>1</v>
      </c>
      <c r="AT49" s="245"/>
      <c r="AU49" s="253" t="s">
        <v>579</v>
      </c>
      <c r="AV49" s="253">
        <v>0</v>
      </c>
      <c r="AW49" s="253">
        <v>0</v>
      </c>
      <c r="AX49" s="253">
        <v>0</v>
      </c>
      <c r="AY49" s="253">
        <v>1816</v>
      </c>
      <c r="AZ49" s="253">
        <v>1</v>
      </c>
      <c r="BA49" s="245"/>
      <c r="BB49" s="253" t="s">
        <v>576</v>
      </c>
      <c r="BC49" s="253">
        <v>0</v>
      </c>
      <c r="BD49" s="253">
        <v>0</v>
      </c>
      <c r="BE49" s="253">
        <v>0</v>
      </c>
      <c r="BF49" s="253">
        <v>660</v>
      </c>
      <c r="BG49" s="253">
        <v>1</v>
      </c>
      <c r="BH49" s="247" t="s">
        <v>576</v>
      </c>
      <c r="BI49" s="253">
        <v>0</v>
      </c>
      <c r="BJ49" s="253">
        <v>0</v>
      </c>
      <c r="BK49" s="253">
        <v>0</v>
      </c>
      <c r="BL49" s="253">
        <v>30</v>
      </c>
      <c r="BM49" s="253">
        <v>1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903.52139069999998</v>
      </c>
      <c r="I50" s="164"/>
      <c r="J50" s="159"/>
      <c r="K50" s="228"/>
      <c r="L50" s="228"/>
      <c r="M50" s="228"/>
      <c r="O50" s="241" t="s">
        <v>115</v>
      </c>
      <c r="P50" s="241">
        <v>1028.07509074</v>
      </c>
      <c r="Q50" s="239"/>
      <c r="R50" s="153" t="s">
        <v>455</v>
      </c>
      <c r="S50" s="253" t="s">
        <v>564</v>
      </c>
      <c r="T50" s="258" t="s">
        <v>565</v>
      </c>
      <c r="U50" s="258" t="s">
        <v>566</v>
      </c>
      <c r="V50" s="258" t="s">
        <v>567</v>
      </c>
      <c r="W50" s="258" t="s">
        <v>568</v>
      </c>
      <c r="X50" s="258" t="s">
        <v>569</v>
      </c>
      <c r="Y50" s="245"/>
      <c r="Z50" s="253" t="s">
        <v>580</v>
      </c>
      <c r="AA50" s="253">
        <v>4536630</v>
      </c>
      <c r="AB50" s="253">
        <v>125</v>
      </c>
      <c r="AC50" s="253">
        <v>17</v>
      </c>
      <c r="AD50" s="253">
        <v>13071</v>
      </c>
      <c r="AE50" s="253">
        <v>1</v>
      </c>
      <c r="AF50" s="253"/>
      <c r="AG50" s="253" t="s">
        <v>580</v>
      </c>
      <c r="AH50" s="253">
        <v>743900</v>
      </c>
      <c r="AI50" s="253">
        <v>20</v>
      </c>
      <c r="AJ50" s="253">
        <v>1</v>
      </c>
      <c r="AK50" s="253">
        <v>571</v>
      </c>
      <c r="AL50" s="253">
        <v>1</v>
      </c>
      <c r="AM50" s="245"/>
      <c r="AN50" s="253" t="s">
        <v>580</v>
      </c>
      <c r="AO50" s="253">
        <v>10052410</v>
      </c>
      <c r="AP50" s="253">
        <v>261</v>
      </c>
      <c r="AQ50" s="253">
        <v>29</v>
      </c>
      <c r="AR50" s="253">
        <v>9313</v>
      </c>
      <c r="AS50" s="253">
        <v>1</v>
      </c>
      <c r="AT50" s="245"/>
      <c r="AU50" s="253" t="s">
        <v>580</v>
      </c>
      <c r="AV50" s="253">
        <v>1715560</v>
      </c>
      <c r="AW50" s="253">
        <v>47</v>
      </c>
      <c r="AX50" s="253">
        <v>8</v>
      </c>
      <c r="AY50" s="253">
        <v>615</v>
      </c>
      <c r="AZ50" s="253">
        <v>1</v>
      </c>
      <c r="BA50" s="245"/>
      <c r="BB50" s="253" t="s">
        <v>577</v>
      </c>
      <c r="BC50" s="253">
        <v>0</v>
      </c>
      <c r="BD50" s="253">
        <v>0</v>
      </c>
      <c r="BE50" s="253">
        <v>0</v>
      </c>
      <c r="BF50" s="253">
        <v>0</v>
      </c>
      <c r="BG50" s="253">
        <v>1</v>
      </c>
      <c r="BH50" s="247" t="s">
        <v>577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25368800619.599998</v>
      </c>
      <c r="BQ50" s="263">
        <v>1803921</v>
      </c>
      <c r="BR50" s="263">
        <v>3018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307.81589358999997</v>
      </c>
      <c r="I51" s="164"/>
      <c r="J51" s="157"/>
      <c r="K51" s="228"/>
      <c r="L51" s="228"/>
      <c r="M51" s="228"/>
      <c r="O51" s="241" t="s">
        <v>283</v>
      </c>
      <c r="P51" s="241">
        <v>325.89212258999999</v>
      </c>
      <c r="Q51" s="239"/>
      <c r="S51" s="253" t="s">
        <v>451</v>
      </c>
      <c r="T51" s="258">
        <v>0</v>
      </c>
      <c r="U51" s="258">
        <v>0</v>
      </c>
      <c r="V51" s="258">
        <v>0</v>
      </c>
      <c r="W51" s="258">
        <v>293260</v>
      </c>
      <c r="X51" s="258">
        <v>0</v>
      </c>
      <c r="Y51" s="245"/>
      <c r="Z51" s="253" t="s">
        <v>581</v>
      </c>
      <c r="AA51" s="253">
        <v>808840</v>
      </c>
      <c r="AB51" s="253">
        <v>11</v>
      </c>
      <c r="AC51" s="253">
        <v>4</v>
      </c>
      <c r="AD51" s="253">
        <v>437</v>
      </c>
      <c r="AE51" s="253">
        <v>1</v>
      </c>
      <c r="AF51" s="253"/>
      <c r="AG51" s="253" t="s">
        <v>581</v>
      </c>
      <c r="AH51" s="253">
        <v>0</v>
      </c>
      <c r="AI51" s="253">
        <v>0</v>
      </c>
      <c r="AJ51" s="253">
        <v>0</v>
      </c>
      <c r="AK51" s="253">
        <v>17</v>
      </c>
      <c r="AL51" s="253">
        <v>1</v>
      </c>
      <c r="AM51" s="245"/>
      <c r="AN51" s="253" t="s">
        <v>581</v>
      </c>
      <c r="AO51" s="253">
        <v>5166540</v>
      </c>
      <c r="AP51" s="253">
        <v>72</v>
      </c>
      <c r="AQ51" s="253">
        <v>21</v>
      </c>
      <c r="AR51" s="253">
        <v>455</v>
      </c>
      <c r="AS51" s="253">
        <v>1</v>
      </c>
      <c r="AT51" s="245"/>
      <c r="AU51" s="253" t="s">
        <v>581</v>
      </c>
      <c r="AV51" s="253">
        <v>0</v>
      </c>
      <c r="AW51" s="253">
        <v>0</v>
      </c>
      <c r="AX51" s="253">
        <v>0</v>
      </c>
      <c r="AY51" s="253">
        <v>28</v>
      </c>
      <c r="AZ51" s="253">
        <v>1</v>
      </c>
      <c r="BA51" s="245"/>
      <c r="BB51" s="253" t="s">
        <v>578</v>
      </c>
      <c r="BC51" s="253">
        <v>3033244481.96</v>
      </c>
      <c r="BD51" s="253">
        <v>16879</v>
      </c>
      <c r="BE51" s="253">
        <v>947</v>
      </c>
      <c r="BF51" s="253">
        <v>377932</v>
      </c>
      <c r="BG51" s="253">
        <v>1</v>
      </c>
      <c r="BH51" s="247" t="s">
        <v>578</v>
      </c>
      <c r="BI51" s="253">
        <v>52065340.460000001</v>
      </c>
      <c r="BJ51" s="253">
        <v>289</v>
      </c>
      <c r="BK51" s="253">
        <v>40</v>
      </c>
      <c r="BL51" s="253">
        <v>15463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19.192870490000001</v>
      </c>
      <c r="I52" s="164"/>
      <c r="J52" s="157"/>
      <c r="K52" s="228"/>
      <c r="L52" s="228"/>
      <c r="M52" s="228"/>
      <c r="O52" s="241" t="s">
        <v>284</v>
      </c>
      <c r="P52" s="241">
        <v>19.090432450000002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582</v>
      </c>
      <c r="AA52" s="253">
        <v>0</v>
      </c>
      <c r="AB52" s="253">
        <v>0</v>
      </c>
      <c r="AC52" s="253">
        <v>0</v>
      </c>
      <c r="AD52" s="253">
        <v>0</v>
      </c>
      <c r="AE52" s="253">
        <v>1</v>
      </c>
      <c r="AF52" s="253"/>
      <c r="AG52" s="253" t="s">
        <v>582</v>
      </c>
      <c r="AH52" s="253">
        <v>0</v>
      </c>
      <c r="AI52" s="253">
        <v>0</v>
      </c>
      <c r="AJ52" s="253">
        <v>0</v>
      </c>
      <c r="AK52" s="253">
        <v>0</v>
      </c>
      <c r="AL52" s="253">
        <v>1</v>
      </c>
      <c r="AM52" s="245"/>
      <c r="AN52" s="253" t="s">
        <v>582</v>
      </c>
      <c r="AO52" s="253">
        <v>74674</v>
      </c>
      <c r="AP52" s="253">
        <v>2</v>
      </c>
      <c r="AQ52" s="253">
        <v>1</v>
      </c>
      <c r="AR52" s="253">
        <v>0</v>
      </c>
      <c r="AS52" s="253">
        <v>1</v>
      </c>
      <c r="AT52" s="245"/>
      <c r="AU52" s="253" t="s">
        <v>582</v>
      </c>
      <c r="AV52" s="253">
        <v>0</v>
      </c>
      <c r="AW52" s="253">
        <v>0</v>
      </c>
      <c r="AX52" s="253">
        <v>0</v>
      </c>
      <c r="AY52" s="253">
        <v>0</v>
      </c>
      <c r="AZ52" s="253">
        <v>1</v>
      </c>
      <c r="BA52" s="245"/>
      <c r="BB52" s="253" t="s">
        <v>579</v>
      </c>
      <c r="BC52" s="253">
        <v>5980825.3499999996</v>
      </c>
      <c r="BD52" s="253">
        <v>335</v>
      </c>
      <c r="BE52" s="253">
        <v>14</v>
      </c>
      <c r="BF52" s="253">
        <v>12095</v>
      </c>
      <c r="BG52" s="253">
        <v>1</v>
      </c>
      <c r="BH52" s="247" t="s">
        <v>579</v>
      </c>
      <c r="BI52" s="253">
        <v>90000</v>
      </c>
      <c r="BJ52" s="253">
        <v>5</v>
      </c>
      <c r="BK52" s="253">
        <v>1</v>
      </c>
      <c r="BL52" s="253">
        <v>381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341.89613688999998</v>
      </c>
      <c r="I53" s="164"/>
      <c r="J53" s="157"/>
      <c r="K53" s="228"/>
      <c r="L53" s="228"/>
      <c r="M53" s="228"/>
      <c r="O53" s="241" t="s">
        <v>285</v>
      </c>
      <c r="P53" s="241">
        <v>344.36232668999997</v>
      </c>
      <c r="Q53" s="239"/>
      <c r="S53" s="253" t="s">
        <v>446</v>
      </c>
      <c r="T53" s="258">
        <v>0</v>
      </c>
      <c r="U53" s="258">
        <v>0</v>
      </c>
      <c r="V53" s="258">
        <v>0</v>
      </c>
      <c r="W53" s="258">
        <v>785857</v>
      </c>
      <c r="X53" s="258">
        <v>0</v>
      </c>
      <c r="Y53" s="245"/>
      <c r="Z53" s="253" t="s">
        <v>583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583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583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583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580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580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15074606705.799999</v>
      </c>
      <c r="BQ53" s="263">
        <v>1083121</v>
      </c>
      <c r="BR53" s="263">
        <v>157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237.64385694000001</v>
      </c>
      <c r="I54" s="164"/>
      <c r="J54" s="157"/>
      <c r="K54" s="228"/>
      <c r="L54" s="228"/>
      <c r="M54" s="228"/>
      <c r="O54" s="241" t="s">
        <v>286</v>
      </c>
      <c r="P54" s="241">
        <v>236.00068257000001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584</v>
      </c>
      <c r="AA54" s="253">
        <v>51902260.035999998</v>
      </c>
      <c r="AB54" s="253">
        <v>285</v>
      </c>
      <c r="AC54" s="253">
        <v>9</v>
      </c>
      <c r="AD54" s="253">
        <v>15419</v>
      </c>
      <c r="AE54" s="253">
        <v>1</v>
      </c>
      <c r="AF54" s="253"/>
      <c r="AG54" s="253" t="s">
        <v>584</v>
      </c>
      <c r="AH54" s="253">
        <v>177600</v>
      </c>
      <c r="AI54" s="253">
        <v>1</v>
      </c>
      <c r="AJ54" s="253">
        <v>1</v>
      </c>
      <c r="AK54" s="253">
        <v>692</v>
      </c>
      <c r="AL54" s="253">
        <v>1</v>
      </c>
      <c r="AM54" s="245"/>
      <c r="AN54" s="253" t="s">
        <v>584</v>
      </c>
      <c r="AO54" s="253">
        <v>58963363.105999999</v>
      </c>
      <c r="AP54" s="253">
        <v>325</v>
      </c>
      <c r="AQ54" s="253">
        <v>17</v>
      </c>
      <c r="AR54" s="253">
        <v>8842</v>
      </c>
      <c r="AS54" s="253">
        <v>1</v>
      </c>
      <c r="AT54" s="245"/>
      <c r="AU54" s="253" t="s">
        <v>584</v>
      </c>
      <c r="AV54" s="253">
        <v>0</v>
      </c>
      <c r="AW54" s="253">
        <v>0</v>
      </c>
      <c r="AX54" s="253">
        <v>0</v>
      </c>
      <c r="AY54" s="253">
        <v>559</v>
      </c>
      <c r="AZ54" s="253">
        <v>1</v>
      </c>
      <c r="BA54" s="245"/>
      <c r="BB54" s="253" t="s">
        <v>581</v>
      </c>
      <c r="BC54" s="253">
        <v>0</v>
      </c>
      <c r="BD54" s="253">
        <v>0</v>
      </c>
      <c r="BE54" s="253">
        <v>0</v>
      </c>
      <c r="BF54" s="253">
        <v>132</v>
      </c>
      <c r="BG54" s="253">
        <v>1</v>
      </c>
      <c r="BH54" s="247" t="s">
        <v>581</v>
      </c>
      <c r="BI54" s="253">
        <v>0</v>
      </c>
      <c r="BJ54" s="253">
        <v>0</v>
      </c>
      <c r="BK54" s="253">
        <v>0</v>
      </c>
      <c r="BL54" s="253">
        <v>6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189.15374439999999</v>
      </c>
      <c r="I55" s="164"/>
      <c r="J55" s="157"/>
      <c r="K55" s="228"/>
      <c r="L55" s="228"/>
      <c r="M55" s="228"/>
      <c r="O55" s="241" t="s">
        <v>287</v>
      </c>
      <c r="P55" s="241">
        <v>189.80771770000001</v>
      </c>
      <c r="Q55" s="239"/>
      <c r="S55" s="253" t="s">
        <v>447</v>
      </c>
      <c r="T55" s="258">
        <v>0</v>
      </c>
      <c r="U55" s="258">
        <v>0</v>
      </c>
      <c r="V55" s="258">
        <v>0</v>
      </c>
      <c r="W55" s="258">
        <v>996186</v>
      </c>
      <c r="X55" s="258">
        <v>0</v>
      </c>
      <c r="Y55" s="245"/>
      <c r="Z55" s="253" t="s">
        <v>585</v>
      </c>
      <c r="AA55" s="253">
        <v>5668680</v>
      </c>
      <c r="AB55" s="253">
        <v>43</v>
      </c>
      <c r="AC55" s="253">
        <v>5</v>
      </c>
      <c r="AD55" s="253">
        <v>505</v>
      </c>
      <c r="AE55" s="253">
        <v>1</v>
      </c>
      <c r="AF55" s="253"/>
      <c r="AG55" s="253" t="s">
        <v>585</v>
      </c>
      <c r="AH55" s="253">
        <v>4253440</v>
      </c>
      <c r="AI55" s="253">
        <v>32</v>
      </c>
      <c r="AJ55" s="253">
        <v>2</v>
      </c>
      <c r="AK55" s="253">
        <v>17</v>
      </c>
      <c r="AL55" s="253">
        <v>1</v>
      </c>
      <c r="AM55" s="245"/>
      <c r="AN55" s="253" t="s">
        <v>585</v>
      </c>
      <c r="AO55" s="253">
        <v>0</v>
      </c>
      <c r="AP55" s="253">
        <v>0</v>
      </c>
      <c r="AQ55" s="253">
        <v>0</v>
      </c>
      <c r="AR55" s="253">
        <v>468</v>
      </c>
      <c r="AS55" s="253">
        <v>1</v>
      </c>
      <c r="AT55" s="245"/>
      <c r="AU55" s="253" t="s">
        <v>585</v>
      </c>
      <c r="AV55" s="253">
        <v>0</v>
      </c>
      <c r="AW55" s="253">
        <v>0</v>
      </c>
      <c r="AX55" s="253">
        <v>0</v>
      </c>
      <c r="AY55" s="253">
        <v>26</v>
      </c>
      <c r="AZ55" s="253">
        <v>1</v>
      </c>
      <c r="BA55" s="245"/>
      <c r="BB55" s="253" t="s">
        <v>582</v>
      </c>
      <c r="BC55" s="253">
        <v>49665320.75</v>
      </c>
      <c r="BD55" s="253">
        <v>1590</v>
      </c>
      <c r="BE55" s="253">
        <v>8</v>
      </c>
      <c r="BF55" s="253">
        <v>17490</v>
      </c>
      <c r="BG55" s="253">
        <v>1</v>
      </c>
      <c r="BH55" s="247" t="s">
        <v>582</v>
      </c>
      <c r="BI55" s="253">
        <v>0</v>
      </c>
      <c r="BJ55" s="253">
        <v>0</v>
      </c>
      <c r="BK55" s="253">
        <v>0</v>
      </c>
      <c r="BL55" s="253">
        <v>795</v>
      </c>
      <c r="BM55" s="253">
        <v>1</v>
      </c>
      <c r="BN55" s="253"/>
      <c r="BO55" s="256" t="s">
        <v>493</v>
      </c>
      <c r="BP55" s="264" t="s">
        <v>617</v>
      </c>
      <c r="BQ55" s="264" t="s">
        <v>568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451.62658801999999</v>
      </c>
      <c r="I56" s="164"/>
      <c r="J56" s="157"/>
      <c r="K56" s="228"/>
      <c r="L56" s="228"/>
      <c r="M56" s="228"/>
      <c r="O56" s="241" t="s">
        <v>288</v>
      </c>
      <c r="P56" s="241">
        <v>456.31324093000001</v>
      </c>
      <c r="Q56" s="239"/>
      <c r="S56" s="253" t="s">
        <v>570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586</v>
      </c>
      <c r="AA56" s="253">
        <v>10046325</v>
      </c>
      <c r="AB56" s="253">
        <v>79</v>
      </c>
      <c r="AC56" s="253">
        <v>6</v>
      </c>
      <c r="AD56" s="253">
        <v>2705</v>
      </c>
      <c r="AE56" s="253">
        <v>1</v>
      </c>
      <c r="AF56" s="253"/>
      <c r="AG56" s="253" t="s">
        <v>586</v>
      </c>
      <c r="AH56" s="253">
        <v>0</v>
      </c>
      <c r="AI56" s="253">
        <v>0</v>
      </c>
      <c r="AJ56" s="253">
        <v>0</v>
      </c>
      <c r="AK56" s="253">
        <v>170</v>
      </c>
      <c r="AL56" s="253">
        <v>1</v>
      </c>
      <c r="AM56" s="245"/>
      <c r="AN56" s="253" t="s">
        <v>586</v>
      </c>
      <c r="AO56" s="253">
        <v>21327040.030000001</v>
      </c>
      <c r="AP56" s="253">
        <v>170</v>
      </c>
      <c r="AQ56" s="253">
        <v>8</v>
      </c>
      <c r="AR56" s="253">
        <v>2117</v>
      </c>
      <c r="AS56" s="253">
        <v>1</v>
      </c>
      <c r="AT56" s="245"/>
      <c r="AU56" s="253" t="s">
        <v>586</v>
      </c>
      <c r="AV56" s="253">
        <v>0</v>
      </c>
      <c r="AW56" s="253">
        <v>0</v>
      </c>
      <c r="AX56" s="253">
        <v>0</v>
      </c>
      <c r="AY56" s="253">
        <v>119</v>
      </c>
      <c r="AZ56" s="253">
        <v>1</v>
      </c>
      <c r="BA56" s="245"/>
      <c r="BB56" s="253" t="s">
        <v>614</v>
      </c>
      <c r="BC56" s="253">
        <v>0</v>
      </c>
      <c r="BD56" s="253">
        <v>0</v>
      </c>
      <c r="BE56" s="253">
        <v>0</v>
      </c>
      <c r="BF56" s="253">
        <v>0</v>
      </c>
      <c r="BG56" s="253">
        <v>1</v>
      </c>
      <c r="BH56" s="247" t="s">
        <v>614</v>
      </c>
      <c r="BI56" s="253">
        <v>0</v>
      </c>
      <c r="BJ56" s="253">
        <v>0</v>
      </c>
      <c r="BK56" s="253">
        <v>0</v>
      </c>
      <c r="BL56" s="253">
        <v>0</v>
      </c>
      <c r="BM56" s="253">
        <v>1</v>
      </c>
      <c r="BN56" s="253"/>
      <c r="BO56" s="247"/>
      <c r="BP56" s="263" t="s">
        <v>618</v>
      </c>
      <c r="BQ56" s="263">
        <v>4955313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7422.1489226599997</v>
      </c>
      <c r="I57" s="164"/>
      <c r="J57" s="157"/>
      <c r="K57" s="228"/>
      <c r="L57" s="228"/>
      <c r="M57" s="228"/>
      <c r="O57" s="241" t="s">
        <v>289</v>
      </c>
      <c r="P57" s="241">
        <v>7238.7406319299998</v>
      </c>
      <c r="Q57" s="239"/>
      <c r="S57" s="253" t="s">
        <v>451</v>
      </c>
      <c r="T57" s="258">
        <v>0</v>
      </c>
      <c r="U57" s="258">
        <v>0</v>
      </c>
      <c r="V57" s="258">
        <v>0</v>
      </c>
      <c r="W57" s="258">
        <v>137792</v>
      </c>
      <c r="X57" s="258">
        <v>1</v>
      </c>
      <c r="Y57" s="245"/>
      <c r="Z57" s="253" t="s">
        <v>587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587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587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587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583</v>
      </c>
      <c r="BC57" s="253">
        <v>1152900</v>
      </c>
      <c r="BD57" s="253">
        <v>15</v>
      </c>
      <c r="BE57" s="253">
        <v>3</v>
      </c>
      <c r="BF57" s="253">
        <v>470</v>
      </c>
      <c r="BG57" s="253">
        <v>1</v>
      </c>
      <c r="BH57" s="247" t="s">
        <v>583</v>
      </c>
      <c r="BI57" s="253">
        <v>0</v>
      </c>
      <c r="BJ57" s="253">
        <v>0</v>
      </c>
      <c r="BK57" s="253">
        <v>0</v>
      </c>
      <c r="BL57" s="253">
        <v>20</v>
      </c>
      <c r="BM57" s="253">
        <v>1</v>
      </c>
      <c r="BN57" s="253"/>
      <c r="BO57" s="247"/>
      <c r="BP57" s="263" t="s">
        <v>619</v>
      </c>
      <c r="BQ57" s="263">
        <v>1541240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838.42651507999994</v>
      </c>
      <c r="I58" s="164"/>
      <c r="J58" s="157"/>
      <c r="K58" s="228"/>
      <c r="L58" s="228"/>
      <c r="M58" s="228"/>
      <c r="O58" s="241" t="s">
        <v>290</v>
      </c>
      <c r="P58" s="241">
        <v>831.63113667000005</v>
      </c>
      <c r="Q58" s="239"/>
      <c r="S58" s="245" t="s">
        <v>448</v>
      </c>
      <c r="T58" s="245">
        <v>0</v>
      </c>
      <c r="U58" s="245">
        <v>2502</v>
      </c>
      <c r="V58" s="245">
        <v>57</v>
      </c>
      <c r="W58" s="245">
        <v>719512</v>
      </c>
      <c r="X58" s="245">
        <v>1</v>
      </c>
      <c r="Y58" s="245"/>
      <c r="Z58" s="253" t="s">
        <v>610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610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610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610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584</v>
      </c>
      <c r="BC58" s="253">
        <v>1300160</v>
      </c>
      <c r="BD58" s="253">
        <v>8</v>
      </c>
      <c r="BE58" s="253">
        <v>2</v>
      </c>
      <c r="BF58" s="253">
        <v>624</v>
      </c>
      <c r="BG58" s="253">
        <v>1</v>
      </c>
      <c r="BH58" s="247" t="s">
        <v>584</v>
      </c>
      <c r="BI58" s="253">
        <v>0</v>
      </c>
      <c r="BJ58" s="253">
        <v>0</v>
      </c>
      <c r="BK58" s="253">
        <v>0</v>
      </c>
      <c r="BL58" s="253">
        <v>22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522.01122669999995</v>
      </c>
      <c r="I59" s="164"/>
      <c r="J59" s="157"/>
      <c r="K59" s="228"/>
      <c r="L59" s="228"/>
      <c r="M59" s="228"/>
      <c r="O59" s="241" t="s">
        <v>95</v>
      </c>
      <c r="P59" s="241">
        <v>478.16507146999999</v>
      </c>
      <c r="Q59" s="239"/>
      <c r="S59" s="245" t="s">
        <v>182</v>
      </c>
      <c r="T59" s="245">
        <v>0</v>
      </c>
      <c r="U59" s="245">
        <v>0</v>
      </c>
      <c r="V59" s="245">
        <v>0</v>
      </c>
      <c r="W59" s="245">
        <v>2414147</v>
      </c>
      <c r="X59" s="245">
        <v>1</v>
      </c>
      <c r="Y59" s="245"/>
      <c r="Z59" s="253" t="s">
        <v>611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611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611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611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585</v>
      </c>
      <c r="BC59" s="253">
        <v>49231460</v>
      </c>
      <c r="BD59" s="253">
        <v>365</v>
      </c>
      <c r="BE59" s="253">
        <v>30</v>
      </c>
      <c r="BF59" s="253">
        <v>1039</v>
      </c>
      <c r="BG59" s="253">
        <v>1</v>
      </c>
      <c r="BH59" s="247" t="s">
        <v>585</v>
      </c>
      <c r="BI59" s="253">
        <v>0</v>
      </c>
      <c r="BJ59" s="253">
        <v>0</v>
      </c>
      <c r="BK59" s="253">
        <v>0</v>
      </c>
      <c r="BL59" s="253">
        <v>45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409.79457731999997</v>
      </c>
      <c r="I60" s="164"/>
      <c r="J60" s="157"/>
      <c r="K60" s="228"/>
      <c r="L60" s="228"/>
      <c r="M60" s="228"/>
      <c r="O60" s="241" t="s">
        <v>97</v>
      </c>
      <c r="P60" s="241">
        <v>379.25523480999999</v>
      </c>
      <c r="Q60" s="239"/>
      <c r="S60" s="254" t="s">
        <v>446</v>
      </c>
      <c r="T60" s="257">
        <v>2941538366.1538</v>
      </c>
      <c r="U60" s="257">
        <v>8719</v>
      </c>
      <c r="V60" s="257">
        <v>3148</v>
      </c>
      <c r="W60" s="257">
        <v>509151</v>
      </c>
      <c r="X60" s="257">
        <v>1</v>
      </c>
      <c r="Y60" s="245"/>
      <c r="Z60" s="253" t="s">
        <v>588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588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588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588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586</v>
      </c>
      <c r="BC60" s="253">
        <v>30500424.395</v>
      </c>
      <c r="BD60" s="253">
        <v>312</v>
      </c>
      <c r="BE60" s="253">
        <v>19</v>
      </c>
      <c r="BF60" s="253">
        <v>1712</v>
      </c>
      <c r="BG60" s="253">
        <v>1</v>
      </c>
      <c r="BH60" s="247" t="s">
        <v>586</v>
      </c>
      <c r="BI60" s="253">
        <v>1432629.97</v>
      </c>
      <c r="BJ60" s="253">
        <v>14</v>
      </c>
      <c r="BK60" s="253">
        <v>2</v>
      </c>
      <c r="BL60" s="253">
        <v>30</v>
      </c>
      <c r="BM60" s="253">
        <v>1</v>
      </c>
      <c r="BN60" s="253"/>
      <c r="BO60" s="247"/>
      <c r="BP60" s="263">
        <v>25368800619.599998</v>
      </c>
      <c r="BQ60" s="263">
        <v>1803921</v>
      </c>
      <c r="BR60" s="263">
        <v>3018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70843.289493010001</v>
      </c>
      <c r="I61" s="164"/>
      <c r="J61" s="157"/>
      <c r="K61" s="228"/>
      <c r="L61" s="228"/>
      <c r="M61" s="228"/>
      <c r="O61" s="241" t="s">
        <v>293</v>
      </c>
      <c r="P61" s="241">
        <v>70350.957427109999</v>
      </c>
      <c r="Q61" s="239"/>
      <c r="R61" s="157"/>
      <c r="S61" s="253" t="s">
        <v>449</v>
      </c>
      <c r="T61" s="258">
        <v>0</v>
      </c>
      <c r="U61" s="258">
        <v>0</v>
      </c>
      <c r="V61" s="258">
        <v>0</v>
      </c>
      <c r="W61" s="258">
        <v>1684867</v>
      </c>
      <c r="X61" s="258">
        <v>1</v>
      </c>
      <c r="Y61" s="245"/>
      <c r="Z61" s="253" t="s">
        <v>589</v>
      </c>
      <c r="AA61" s="253">
        <v>0</v>
      </c>
      <c r="AB61" s="253">
        <v>0</v>
      </c>
      <c r="AC61" s="253">
        <v>0</v>
      </c>
      <c r="AD61" s="253">
        <v>2882</v>
      </c>
      <c r="AE61" s="253">
        <v>1</v>
      </c>
      <c r="AF61" s="253"/>
      <c r="AG61" s="253" t="s">
        <v>589</v>
      </c>
      <c r="AH61" s="253">
        <v>0</v>
      </c>
      <c r="AI61" s="253">
        <v>0</v>
      </c>
      <c r="AJ61" s="253">
        <v>0</v>
      </c>
      <c r="AK61" s="253">
        <v>131</v>
      </c>
      <c r="AL61" s="253">
        <v>1</v>
      </c>
      <c r="AM61" s="245"/>
      <c r="AN61" s="253" t="s">
        <v>589</v>
      </c>
      <c r="AO61" s="253">
        <v>0</v>
      </c>
      <c r="AP61" s="253">
        <v>0</v>
      </c>
      <c r="AQ61" s="253">
        <v>0</v>
      </c>
      <c r="AR61" s="253">
        <v>2358</v>
      </c>
      <c r="AS61" s="253">
        <v>1</v>
      </c>
      <c r="AT61" s="245"/>
      <c r="AU61" s="253" t="s">
        <v>589</v>
      </c>
      <c r="AV61" s="253">
        <v>0</v>
      </c>
      <c r="AW61" s="253">
        <v>0</v>
      </c>
      <c r="AX61" s="253">
        <v>0</v>
      </c>
      <c r="AY61" s="253">
        <v>131</v>
      </c>
      <c r="AZ61" s="253">
        <v>1</v>
      </c>
      <c r="BA61" s="245"/>
      <c r="BB61" s="253" t="s">
        <v>587</v>
      </c>
      <c r="BC61" s="253">
        <v>0</v>
      </c>
      <c r="BD61" s="253">
        <v>0</v>
      </c>
      <c r="BE61" s="253">
        <v>0</v>
      </c>
      <c r="BF61" s="253">
        <v>0</v>
      </c>
      <c r="BG61" s="253">
        <v>1</v>
      </c>
      <c r="BH61" s="247" t="s">
        <v>587</v>
      </c>
      <c r="BI61" s="253">
        <v>0</v>
      </c>
      <c r="BJ61" s="253">
        <v>0</v>
      </c>
      <c r="BK61" s="253">
        <v>0</v>
      </c>
      <c r="BL61" s="253">
        <v>0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23701.172845649999</v>
      </c>
      <c r="I62" s="164"/>
      <c r="J62" s="157"/>
      <c r="K62" s="228"/>
      <c r="L62" s="228"/>
      <c r="M62" s="228"/>
      <c r="O62" s="241" t="s">
        <v>99</v>
      </c>
      <c r="P62" s="241">
        <v>22974.081939889998</v>
      </c>
      <c r="Q62" s="239"/>
      <c r="R62" s="157"/>
      <c r="S62" s="253" t="s">
        <v>450</v>
      </c>
      <c r="T62" s="258">
        <v>0</v>
      </c>
      <c r="U62" s="258">
        <v>0</v>
      </c>
      <c r="V62" s="258">
        <v>0</v>
      </c>
      <c r="W62" s="258">
        <v>1594981</v>
      </c>
      <c r="X62" s="258">
        <v>1</v>
      </c>
      <c r="Y62" s="245"/>
      <c r="Z62" s="253" t="s">
        <v>590</v>
      </c>
      <c r="AA62" s="253">
        <v>101926777.42</v>
      </c>
      <c r="AB62" s="253">
        <v>764</v>
      </c>
      <c r="AC62" s="253">
        <v>16</v>
      </c>
      <c r="AD62" s="253">
        <v>3439</v>
      </c>
      <c r="AE62" s="253">
        <v>1</v>
      </c>
      <c r="AF62" s="253"/>
      <c r="AG62" s="253" t="s">
        <v>590</v>
      </c>
      <c r="AH62" s="253">
        <v>265660</v>
      </c>
      <c r="AI62" s="253">
        <v>2</v>
      </c>
      <c r="AJ62" s="253">
        <v>1</v>
      </c>
      <c r="AK62" s="253">
        <v>322</v>
      </c>
      <c r="AL62" s="253">
        <v>1</v>
      </c>
      <c r="AM62" s="245"/>
      <c r="AN62" s="253" t="s">
        <v>590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590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610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610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245.58460324999999</v>
      </c>
      <c r="I63" s="164"/>
      <c r="J63" s="157"/>
      <c r="K63" s="228"/>
      <c r="L63" s="228"/>
      <c r="M63" s="228"/>
      <c r="O63" s="241" t="s">
        <v>294</v>
      </c>
      <c r="P63" s="241">
        <v>240.55907922</v>
      </c>
      <c r="Q63" s="239"/>
      <c r="R63" s="153" t="s">
        <v>456</v>
      </c>
      <c r="S63" s="253" t="s">
        <v>564</v>
      </c>
      <c r="T63" s="258" t="s">
        <v>565</v>
      </c>
      <c r="U63" s="258" t="s">
        <v>566</v>
      </c>
      <c r="V63" s="258" t="s">
        <v>567</v>
      </c>
      <c r="W63" s="258" t="s">
        <v>568</v>
      </c>
      <c r="X63" s="258" t="s">
        <v>569</v>
      </c>
      <c r="Y63" s="245"/>
      <c r="Z63" s="253" t="s">
        <v>591</v>
      </c>
      <c r="AA63" s="253">
        <v>3589989.9909999999</v>
      </c>
      <c r="AB63" s="253">
        <v>32</v>
      </c>
      <c r="AC63" s="253">
        <v>12</v>
      </c>
      <c r="AD63" s="253">
        <v>3132</v>
      </c>
      <c r="AE63" s="253">
        <v>1</v>
      </c>
      <c r="AF63" s="253"/>
      <c r="AG63" s="253" t="s">
        <v>591</v>
      </c>
      <c r="AH63" s="253">
        <v>0</v>
      </c>
      <c r="AI63" s="253">
        <v>0</v>
      </c>
      <c r="AJ63" s="253">
        <v>0</v>
      </c>
      <c r="AK63" s="253">
        <v>129</v>
      </c>
      <c r="AL63" s="253">
        <v>1</v>
      </c>
      <c r="AM63" s="245"/>
      <c r="AN63" s="253" t="s">
        <v>591</v>
      </c>
      <c r="AO63" s="253">
        <v>22558261.984000001</v>
      </c>
      <c r="AP63" s="253">
        <v>200</v>
      </c>
      <c r="AQ63" s="253">
        <v>16</v>
      </c>
      <c r="AR63" s="253">
        <v>2614</v>
      </c>
      <c r="AS63" s="253">
        <v>1</v>
      </c>
      <c r="AT63" s="245"/>
      <c r="AU63" s="253" t="s">
        <v>591</v>
      </c>
      <c r="AV63" s="253">
        <v>0</v>
      </c>
      <c r="AW63" s="253">
        <v>0</v>
      </c>
      <c r="AX63" s="253">
        <v>0</v>
      </c>
      <c r="AY63" s="253">
        <v>145</v>
      </c>
      <c r="AZ63" s="253">
        <v>1</v>
      </c>
      <c r="BA63" s="245"/>
      <c r="BB63" s="253" t="s">
        <v>611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611</v>
      </c>
      <c r="BI63" s="253">
        <v>0</v>
      </c>
      <c r="BJ63" s="253">
        <v>0</v>
      </c>
      <c r="BK63" s="253">
        <v>0</v>
      </c>
      <c r="BL63" s="253">
        <v>0</v>
      </c>
      <c r="BM63" s="253">
        <v>1</v>
      </c>
      <c r="BN63" s="253"/>
      <c r="BO63" s="251"/>
      <c r="BP63" s="263">
        <v>15074606705.799999</v>
      </c>
      <c r="BQ63" s="263">
        <v>1083121</v>
      </c>
      <c r="BR63" s="263">
        <v>157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182.49027265999999</v>
      </c>
      <c r="I64" s="164"/>
      <c r="J64" s="3"/>
      <c r="K64" s="228"/>
      <c r="L64" s="228"/>
      <c r="M64" s="228"/>
      <c r="O64" s="241" t="s">
        <v>297</v>
      </c>
      <c r="P64" s="241">
        <v>175.34179771000001</v>
      </c>
      <c r="Q64" s="239"/>
      <c r="R64" s="157"/>
      <c r="S64" s="253" t="s">
        <v>570</v>
      </c>
      <c r="T64" s="258">
        <v>0</v>
      </c>
      <c r="U64" s="258">
        <v>0</v>
      </c>
      <c r="V64" s="258">
        <v>0</v>
      </c>
      <c r="W64" s="258">
        <v>0</v>
      </c>
      <c r="X64" s="258">
        <v>0</v>
      </c>
      <c r="Y64" s="245"/>
      <c r="Z64" s="253" t="s">
        <v>592</v>
      </c>
      <c r="AA64" s="253">
        <v>55323340.810000002</v>
      </c>
      <c r="AB64" s="253">
        <v>675</v>
      </c>
      <c r="AC64" s="253">
        <v>14</v>
      </c>
      <c r="AD64" s="253">
        <v>4599</v>
      </c>
      <c r="AE64" s="253">
        <v>1</v>
      </c>
      <c r="AF64" s="253"/>
      <c r="AG64" s="253" t="s">
        <v>592</v>
      </c>
      <c r="AH64" s="253">
        <v>164460</v>
      </c>
      <c r="AI64" s="253">
        <v>2</v>
      </c>
      <c r="AJ64" s="253">
        <v>1</v>
      </c>
      <c r="AK64" s="253">
        <v>364</v>
      </c>
      <c r="AL64" s="253">
        <v>1</v>
      </c>
      <c r="AM64" s="245"/>
      <c r="AN64" s="253" t="s">
        <v>592</v>
      </c>
      <c r="AO64" s="253">
        <v>8546200</v>
      </c>
      <c r="AP64" s="253">
        <v>106</v>
      </c>
      <c r="AQ64" s="253">
        <v>6</v>
      </c>
      <c r="AR64" s="253">
        <v>984</v>
      </c>
      <c r="AS64" s="253">
        <v>1</v>
      </c>
      <c r="AT64" s="245"/>
      <c r="AU64" s="253" t="s">
        <v>592</v>
      </c>
      <c r="AV64" s="253">
        <v>0</v>
      </c>
      <c r="AW64" s="253">
        <v>0</v>
      </c>
      <c r="AX64" s="253">
        <v>0</v>
      </c>
      <c r="AY64" s="253">
        <v>54</v>
      </c>
      <c r="AZ64" s="253">
        <v>1</v>
      </c>
      <c r="BA64" s="245"/>
      <c r="BB64" s="253" t="s">
        <v>588</v>
      </c>
      <c r="BC64" s="253">
        <v>876000</v>
      </c>
      <c r="BD64" s="253">
        <v>30</v>
      </c>
      <c r="BE64" s="253">
        <v>1</v>
      </c>
      <c r="BF64" s="253">
        <v>390</v>
      </c>
      <c r="BG64" s="253">
        <v>1</v>
      </c>
      <c r="BH64" s="247" t="s">
        <v>588</v>
      </c>
      <c r="BI64" s="253">
        <v>0</v>
      </c>
      <c r="BJ64" s="253">
        <v>0</v>
      </c>
      <c r="BK64" s="253">
        <v>0</v>
      </c>
      <c r="BL64" s="253">
        <v>0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11894.87849392</v>
      </c>
      <c r="I65" s="164"/>
      <c r="J65" s="3"/>
      <c r="K65" s="228"/>
      <c r="L65" s="228"/>
      <c r="M65" s="228"/>
      <c r="O65" s="241" t="s">
        <v>298</v>
      </c>
      <c r="P65" s="241">
        <v>11948.86943176</v>
      </c>
      <c r="Q65" s="239"/>
      <c r="R65" s="157"/>
      <c r="S65" s="253" t="s">
        <v>451</v>
      </c>
      <c r="T65" s="258">
        <v>145387736.59</v>
      </c>
      <c r="U65" s="258">
        <v>61367</v>
      </c>
      <c r="V65" s="258">
        <v>81</v>
      </c>
      <c r="W65" s="258">
        <v>213084</v>
      </c>
      <c r="X65" s="258">
        <v>0</v>
      </c>
      <c r="Y65" s="245"/>
      <c r="Z65" s="253" t="s">
        <v>593</v>
      </c>
      <c r="AA65" s="253">
        <v>0</v>
      </c>
      <c r="AB65" s="253">
        <v>0</v>
      </c>
      <c r="AC65" s="253">
        <v>0</v>
      </c>
      <c r="AD65" s="253">
        <v>0</v>
      </c>
      <c r="AE65" s="253">
        <v>1</v>
      </c>
      <c r="AF65" s="253"/>
      <c r="AG65" s="253" t="s">
        <v>593</v>
      </c>
      <c r="AH65" s="253">
        <v>0</v>
      </c>
      <c r="AI65" s="253">
        <v>0</v>
      </c>
      <c r="AJ65" s="253">
        <v>0</v>
      </c>
      <c r="AK65" s="253">
        <v>0</v>
      </c>
      <c r="AL65" s="253">
        <v>1</v>
      </c>
      <c r="AM65" s="245"/>
      <c r="AN65" s="253" t="s">
        <v>593</v>
      </c>
      <c r="AO65" s="253">
        <v>0</v>
      </c>
      <c r="AP65" s="253">
        <v>0</v>
      </c>
      <c r="AQ65" s="253">
        <v>0</v>
      </c>
      <c r="AR65" s="253">
        <v>0</v>
      </c>
      <c r="AS65" s="253">
        <v>1</v>
      </c>
      <c r="AT65" s="245"/>
      <c r="AU65" s="253" t="s">
        <v>593</v>
      </c>
      <c r="AV65" s="253">
        <v>0</v>
      </c>
      <c r="AW65" s="253">
        <v>0</v>
      </c>
      <c r="AX65" s="253">
        <v>0</v>
      </c>
      <c r="AY65" s="253">
        <v>0</v>
      </c>
      <c r="AZ65" s="253">
        <v>1</v>
      </c>
      <c r="BA65" s="245"/>
      <c r="BB65" s="253" t="s">
        <v>589</v>
      </c>
      <c r="BC65" s="253">
        <v>67705600.002000004</v>
      </c>
      <c r="BD65" s="253">
        <v>509</v>
      </c>
      <c r="BE65" s="253">
        <v>19</v>
      </c>
      <c r="BF65" s="253">
        <v>2603</v>
      </c>
      <c r="BG65" s="253">
        <v>1</v>
      </c>
      <c r="BH65" s="247" t="s">
        <v>589</v>
      </c>
      <c r="BI65" s="253">
        <v>2253360.0060000001</v>
      </c>
      <c r="BJ65" s="253">
        <v>18</v>
      </c>
      <c r="BK65" s="253">
        <v>1</v>
      </c>
      <c r="BL65" s="253">
        <v>99</v>
      </c>
      <c r="BM65" s="253">
        <v>1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4239.7392861199996</v>
      </c>
      <c r="I66" s="164"/>
      <c r="J66" s="3"/>
      <c r="K66" s="228"/>
      <c r="L66" s="228"/>
      <c r="M66" s="228"/>
      <c r="O66" s="241" t="s">
        <v>299</v>
      </c>
      <c r="P66" s="241">
        <v>4204.7001184600003</v>
      </c>
      <c r="Q66" s="239"/>
      <c r="R66" s="157"/>
      <c r="S66" s="253" t="s">
        <v>448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594</v>
      </c>
      <c r="AA66" s="253">
        <v>0</v>
      </c>
      <c r="AB66" s="253">
        <v>0</v>
      </c>
      <c r="AC66" s="253">
        <v>0</v>
      </c>
      <c r="AD66" s="253">
        <v>0</v>
      </c>
      <c r="AE66" s="253">
        <v>1</v>
      </c>
      <c r="AF66" s="253"/>
      <c r="AG66" s="253" t="s">
        <v>594</v>
      </c>
      <c r="AH66" s="253">
        <v>0</v>
      </c>
      <c r="AI66" s="253">
        <v>0</v>
      </c>
      <c r="AJ66" s="253">
        <v>0</v>
      </c>
      <c r="AK66" s="253">
        <v>0</v>
      </c>
      <c r="AL66" s="253">
        <v>1</v>
      </c>
      <c r="AM66" s="245"/>
      <c r="AN66" s="253" t="s">
        <v>594</v>
      </c>
      <c r="AO66" s="253">
        <v>0</v>
      </c>
      <c r="AP66" s="253">
        <v>0</v>
      </c>
      <c r="AQ66" s="253">
        <v>0</v>
      </c>
      <c r="AR66" s="253">
        <v>0</v>
      </c>
      <c r="AS66" s="253">
        <v>1</v>
      </c>
      <c r="AT66" s="245"/>
      <c r="AU66" s="253" t="s">
        <v>594</v>
      </c>
      <c r="AV66" s="253">
        <v>0</v>
      </c>
      <c r="AW66" s="253">
        <v>0</v>
      </c>
      <c r="AX66" s="253">
        <v>0</v>
      </c>
      <c r="AY66" s="253">
        <v>0</v>
      </c>
      <c r="AZ66" s="253">
        <v>1</v>
      </c>
      <c r="BA66" s="245"/>
      <c r="BB66" s="253" t="s">
        <v>590</v>
      </c>
      <c r="BC66" s="253">
        <v>653700</v>
      </c>
      <c r="BD66" s="253">
        <v>6</v>
      </c>
      <c r="BE66" s="253">
        <v>2</v>
      </c>
      <c r="BF66" s="253">
        <v>39</v>
      </c>
      <c r="BG66" s="253">
        <v>1</v>
      </c>
      <c r="BH66" s="247" t="s">
        <v>590</v>
      </c>
      <c r="BI66" s="253">
        <v>0</v>
      </c>
      <c r="BJ66" s="253">
        <v>0</v>
      </c>
      <c r="BK66" s="253">
        <v>0</v>
      </c>
      <c r="BL66" s="253">
        <v>0</v>
      </c>
      <c r="BM66" s="253">
        <v>1</v>
      </c>
      <c r="BN66" s="253"/>
      <c r="BO66" s="247"/>
      <c r="BP66" s="263">
        <v>29325309096.400002</v>
      </c>
      <c r="BQ66" s="263">
        <v>2323459</v>
      </c>
      <c r="BR66" s="263">
        <v>3300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142.51259401999999</v>
      </c>
      <c r="I67" s="164"/>
      <c r="J67" s="3"/>
      <c r="K67" s="228"/>
      <c r="L67" s="228"/>
      <c r="M67" s="228"/>
      <c r="O67" s="241" t="s">
        <v>300</v>
      </c>
      <c r="P67" s="241">
        <v>138.42961894000001</v>
      </c>
      <c r="Q67" s="239"/>
      <c r="R67" s="157"/>
      <c r="S67" s="253" t="s">
        <v>446</v>
      </c>
      <c r="T67" s="258">
        <v>1188005548.5899999</v>
      </c>
      <c r="U67" s="258">
        <v>379147</v>
      </c>
      <c r="V67" s="258">
        <v>286</v>
      </c>
      <c r="W67" s="258">
        <v>1000234</v>
      </c>
      <c r="X67" s="258">
        <v>0</v>
      </c>
      <c r="Y67" s="245"/>
      <c r="Z67" s="253" t="s">
        <v>595</v>
      </c>
      <c r="AA67" s="253">
        <v>19849425</v>
      </c>
      <c r="AB67" s="253">
        <v>178</v>
      </c>
      <c r="AC67" s="253">
        <v>9</v>
      </c>
      <c r="AD67" s="253">
        <v>7177</v>
      </c>
      <c r="AE67" s="253">
        <v>1</v>
      </c>
      <c r="AF67" s="253"/>
      <c r="AG67" s="253" t="s">
        <v>595</v>
      </c>
      <c r="AH67" s="253">
        <v>108725</v>
      </c>
      <c r="AI67" s="253">
        <v>1</v>
      </c>
      <c r="AJ67" s="253">
        <v>1</v>
      </c>
      <c r="AK67" s="253">
        <v>338</v>
      </c>
      <c r="AL67" s="253">
        <v>1</v>
      </c>
      <c r="AM67" s="245"/>
      <c r="AN67" s="253" t="s">
        <v>595</v>
      </c>
      <c r="AO67" s="253">
        <v>27728948.699999999</v>
      </c>
      <c r="AP67" s="253">
        <v>261</v>
      </c>
      <c r="AQ67" s="253">
        <v>11</v>
      </c>
      <c r="AR67" s="253">
        <v>1898</v>
      </c>
      <c r="AS67" s="253">
        <v>1</v>
      </c>
      <c r="AT67" s="245"/>
      <c r="AU67" s="253" t="s">
        <v>595</v>
      </c>
      <c r="AV67" s="253">
        <v>0</v>
      </c>
      <c r="AW67" s="253">
        <v>0</v>
      </c>
      <c r="AX67" s="253">
        <v>0</v>
      </c>
      <c r="AY67" s="253">
        <v>226</v>
      </c>
      <c r="AZ67" s="253">
        <v>1</v>
      </c>
      <c r="BA67" s="245"/>
      <c r="BB67" s="253" t="s">
        <v>591</v>
      </c>
      <c r="BC67" s="253">
        <v>23153930.052999999</v>
      </c>
      <c r="BD67" s="253">
        <v>183</v>
      </c>
      <c r="BE67" s="253">
        <v>14</v>
      </c>
      <c r="BF67" s="253">
        <v>2783</v>
      </c>
      <c r="BG67" s="253">
        <v>1</v>
      </c>
      <c r="BH67" s="247" t="s">
        <v>591</v>
      </c>
      <c r="BI67" s="253">
        <v>0</v>
      </c>
      <c r="BJ67" s="253">
        <v>0</v>
      </c>
      <c r="BK67" s="253">
        <v>0</v>
      </c>
      <c r="BL67" s="253">
        <v>207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43347</v>
      </c>
      <c r="D68" s="190">
        <v>28871.375256529998</v>
      </c>
      <c r="E68" s="223">
        <v>1</v>
      </c>
      <c r="F68" s="213"/>
      <c r="G68" s="223" t="s">
        <v>301</v>
      </c>
      <c r="H68" s="223">
        <v>1707.85431466</v>
      </c>
      <c r="I68" s="164"/>
      <c r="J68" s="3"/>
      <c r="K68" s="228"/>
      <c r="L68" s="228"/>
      <c r="M68" s="228"/>
      <c r="O68" s="241" t="s">
        <v>301</v>
      </c>
      <c r="P68" s="241">
        <v>1656.9961551700001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596</v>
      </c>
      <c r="AA68" s="253">
        <v>158075</v>
      </c>
      <c r="AB68" s="253">
        <v>2</v>
      </c>
      <c r="AC68" s="253">
        <v>2</v>
      </c>
      <c r="AD68" s="253">
        <v>1100</v>
      </c>
      <c r="AE68" s="253">
        <v>1</v>
      </c>
      <c r="AF68" s="253"/>
      <c r="AG68" s="253" t="s">
        <v>596</v>
      </c>
      <c r="AH68" s="253">
        <v>0</v>
      </c>
      <c r="AI68" s="253">
        <v>0</v>
      </c>
      <c r="AJ68" s="253">
        <v>0</v>
      </c>
      <c r="AK68" s="253">
        <v>50</v>
      </c>
      <c r="AL68" s="253">
        <v>1</v>
      </c>
      <c r="AM68" s="245"/>
      <c r="AN68" s="253" t="s">
        <v>596</v>
      </c>
      <c r="AO68" s="253">
        <v>2302475</v>
      </c>
      <c r="AP68" s="253">
        <v>30</v>
      </c>
      <c r="AQ68" s="253">
        <v>4</v>
      </c>
      <c r="AR68" s="253">
        <v>712</v>
      </c>
      <c r="AS68" s="253">
        <v>1</v>
      </c>
      <c r="AT68" s="245"/>
      <c r="AU68" s="253" t="s">
        <v>596</v>
      </c>
      <c r="AV68" s="253">
        <v>0</v>
      </c>
      <c r="AW68" s="253">
        <v>0</v>
      </c>
      <c r="AX68" s="253">
        <v>0</v>
      </c>
      <c r="AY68" s="253">
        <v>50</v>
      </c>
      <c r="AZ68" s="253">
        <v>1</v>
      </c>
      <c r="BA68" s="245"/>
      <c r="BB68" s="253" t="s">
        <v>592</v>
      </c>
      <c r="BC68" s="253">
        <v>12590750.07</v>
      </c>
      <c r="BD68" s="253">
        <v>127</v>
      </c>
      <c r="BE68" s="253">
        <v>43</v>
      </c>
      <c r="BF68" s="253">
        <v>1418</v>
      </c>
      <c r="BG68" s="253">
        <v>1</v>
      </c>
      <c r="BH68" s="247" t="s">
        <v>592</v>
      </c>
      <c r="BI68" s="253">
        <v>0</v>
      </c>
      <c r="BJ68" s="253">
        <v>0</v>
      </c>
      <c r="BK68" s="253">
        <v>0</v>
      </c>
      <c r="BL68" s="253">
        <v>47</v>
      </c>
      <c r="BM68" s="253">
        <v>1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13853.122499999999</v>
      </c>
      <c r="I69" s="164"/>
      <c r="J69" s="3"/>
      <c r="K69" s="228"/>
      <c r="L69" s="228"/>
      <c r="M69" s="228"/>
      <c r="O69" s="241" t="s">
        <v>303</v>
      </c>
      <c r="P69" s="241">
        <v>13813.571099999999</v>
      </c>
      <c r="Q69" s="239"/>
      <c r="R69" s="157"/>
      <c r="S69" s="253" t="s">
        <v>447</v>
      </c>
      <c r="T69" s="258">
        <v>667287429.73000002</v>
      </c>
      <c r="U69" s="258">
        <v>1239426</v>
      </c>
      <c r="V69" s="258">
        <v>422</v>
      </c>
      <c r="W69" s="258">
        <v>1797298</v>
      </c>
      <c r="X69" s="258">
        <v>0</v>
      </c>
      <c r="Y69" s="245"/>
      <c r="Z69" s="253" t="s">
        <v>597</v>
      </c>
      <c r="AA69" s="253">
        <v>10239400</v>
      </c>
      <c r="AB69" s="253">
        <v>79</v>
      </c>
      <c r="AC69" s="253">
        <v>10</v>
      </c>
      <c r="AD69" s="253">
        <v>759</v>
      </c>
      <c r="AE69" s="253">
        <v>1</v>
      </c>
      <c r="AF69" s="253"/>
      <c r="AG69" s="253" t="s">
        <v>597</v>
      </c>
      <c r="AH69" s="253">
        <v>3807000</v>
      </c>
      <c r="AI69" s="253">
        <v>30</v>
      </c>
      <c r="AJ69" s="253">
        <v>1</v>
      </c>
      <c r="AK69" s="253">
        <v>27</v>
      </c>
      <c r="AL69" s="253">
        <v>1</v>
      </c>
      <c r="AM69" s="245"/>
      <c r="AN69" s="253" t="s">
        <v>597</v>
      </c>
      <c r="AO69" s="253">
        <v>274450</v>
      </c>
      <c r="AP69" s="253">
        <v>2</v>
      </c>
      <c r="AQ69" s="253">
        <v>2</v>
      </c>
      <c r="AR69" s="253">
        <v>544</v>
      </c>
      <c r="AS69" s="253">
        <v>1</v>
      </c>
      <c r="AT69" s="245"/>
      <c r="AU69" s="253" t="s">
        <v>597</v>
      </c>
      <c r="AV69" s="253">
        <v>0</v>
      </c>
      <c r="AW69" s="253">
        <v>0</v>
      </c>
      <c r="AX69" s="253">
        <v>0</v>
      </c>
      <c r="AY69" s="253">
        <v>32</v>
      </c>
      <c r="AZ69" s="253">
        <v>1</v>
      </c>
      <c r="BA69" s="245"/>
      <c r="BB69" s="253" t="s">
        <v>615</v>
      </c>
      <c r="BC69" s="253">
        <v>0</v>
      </c>
      <c r="BD69" s="253">
        <v>0</v>
      </c>
      <c r="BE69" s="253">
        <v>0</v>
      </c>
      <c r="BF69" s="253">
        <v>0</v>
      </c>
      <c r="BG69" s="253">
        <v>1</v>
      </c>
      <c r="BH69" s="247" t="s">
        <v>615</v>
      </c>
      <c r="BI69" s="253">
        <v>0</v>
      </c>
      <c r="BJ69" s="253">
        <v>0</v>
      </c>
      <c r="BK69" s="253">
        <v>0</v>
      </c>
      <c r="BL69" s="253">
        <v>0</v>
      </c>
      <c r="BM69" s="253">
        <v>1</v>
      </c>
      <c r="BN69" s="253"/>
      <c r="BO69" s="247"/>
      <c r="BP69" s="263">
        <v>29114850223</v>
      </c>
      <c r="BQ69" s="263">
        <v>2233443</v>
      </c>
      <c r="BR69" s="263">
        <v>243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22492.346777989998</v>
      </c>
      <c r="I70" s="164"/>
      <c r="J70" s="3"/>
      <c r="K70" s="228"/>
      <c r="L70" s="228"/>
      <c r="M70" s="228"/>
      <c r="O70" s="241" t="s">
        <v>304</v>
      </c>
      <c r="P70" s="241">
        <v>22134.844416420001</v>
      </c>
      <c r="Q70" s="239"/>
      <c r="R70" s="157"/>
      <c r="S70" s="253" t="s">
        <v>570</v>
      </c>
      <c r="T70" s="258">
        <v>0</v>
      </c>
      <c r="U70" s="258">
        <v>0</v>
      </c>
      <c r="V70" s="258">
        <v>0</v>
      </c>
      <c r="W70" s="258">
        <v>0</v>
      </c>
      <c r="X70" s="258">
        <v>1</v>
      </c>
      <c r="Y70" s="245"/>
      <c r="Z70" s="253" t="s">
        <v>598</v>
      </c>
      <c r="AA70" s="253">
        <v>0</v>
      </c>
      <c r="AB70" s="253">
        <v>0</v>
      </c>
      <c r="AC70" s="253">
        <v>0</v>
      </c>
      <c r="AD70" s="253">
        <v>0</v>
      </c>
      <c r="AE70" s="253">
        <v>1</v>
      </c>
      <c r="AF70" s="253"/>
      <c r="AG70" s="253" t="s">
        <v>598</v>
      </c>
      <c r="AH70" s="253">
        <v>0</v>
      </c>
      <c r="AI70" s="253">
        <v>0</v>
      </c>
      <c r="AJ70" s="253">
        <v>0</v>
      </c>
      <c r="AK70" s="253">
        <v>0</v>
      </c>
      <c r="AL70" s="253">
        <v>1</v>
      </c>
      <c r="AM70" s="245"/>
      <c r="AN70" s="253" t="s">
        <v>598</v>
      </c>
      <c r="AO70" s="253">
        <v>23251100</v>
      </c>
      <c r="AP70" s="253">
        <v>67</v>
      </c>
      <c r="AQ70" s="253">
        <v>5</v>
      </c>
      <c r="AR70" s="253">
        <v>189</v>
      </c>
      <c r="AS70" s="253">
        <v>1</v>
      </c>
      <c r="AT70" s="245"/>
      <c r="AU70" s="253" t="s">
        <v>598</v>
      </c>
      <c r="AV70" s="253">
        <v>0</v>
      </c>
      <c r="AW70" s="253">
        <v>0</v>
      </c>
      <c r="AX70" s="253">
        <v>0</v>
      </c>
      <c r="AY70" s="253">
        <v>0</v>
      </c>
      <c r="AZ70" s="253">
        <v>1</v>
      </c>
      <c r="BA70" s="245"/>
      <c r="BB70" s="253" t="s">
        <v>616</v>
      </c>
      <c r="BC70" s="253">
        <v>0</v>
      </c>
      <c r="BD70" s="253">
        <v>0</v>
      </c>
      <c r="BE70" s="253">
        <v>0</v>
      </c>
      <c r="BF70" s="253">
        <v>0</v>
      </c>
      <c r="BG70" s="253">
        <v>1</v>
      </c>
      <c r="BH70" s="247" t="s">
        <v>616</v>
      </c>
      <c r="BI70" s="253">
        <v>0</v>
      </c>
      <c r="BJ70" s="253">
        <v>0</v>
      </c>
      <c r="BK70" s="253">
        <v>0</v>
      </c>
      <c r="BL70" s="253">
        <v>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25001.44699574</v>
      </c>
      <c r="I71" s="164"/>
      <c r="J71" s="3"/>
      <c r="K71" s="228"/>
      <c r="L71" s="228"/>
      <c r="M71" s="228"/>
      <c r="O71" s="241" t="s">
        <v>58</v>
      </c>
      <c r="P71" s="241">
        <v>24448.50510876</v>
      </c>
      <c r="Q71" s="239"/>
      <c r="R71" s="157"/>
      <c r="S71" s="253" t="s">
        <v>451</v>
      </c>
      <c r="T71" s="258">
        <v>1651342291.6800001</v>
      </c>
      <c r="U71" s="258">
        <v>47271</v>
      </c>
      <c r="V71" s="258">
        <v>87</v>
      </c>
      <c r="W71" s="258">
        <v>415534</v>
      </c>
      <c r="X71" s="258">
        <v>1</v>
      </c>
      <c r="Y71" s="245"/>
      <c r="Z71" s="253" t="s">
        <v>599</v>
      </c>
      <c r="AA71" s="253">
        <v>24275000</v>
      </c>
      <c r="AB71" s="253">
        <v>61</v>
      </c>
      <c r="AC71" s="253">
        <v>3</v>
      </c>
      <c r="AD71" s="253">
        <v>316</v>
      </c>
      <c r="AE71" s="253">
        <v>1</v>
      </c>
      <c r="AF71" s="253"/>
      <c r="AG71" s="253" t="s">
        <v>599</v>
      </c>
      <c r="AH71" s="253">
        <v>0</v>
      </c>
      <c r="AI71" s="253">
        <v>0</v>
      </c>
      <c r="AJ71" s="253">
        <v>0</v>
      </c>
      <c r="AK71" s="253">
        <v>40</v>
      </c>
      <c r="AL71" s="253">
        <v>1</v>
      </c>
      <c r="AM71" s="245"/>
      <c r="AN71" s="253" t="s">
        <v>599</v>
      </c>
      <c r="AO71" s="253">
        <v>0</v>
      </c>
      <c r="AP71" s="253">
        <v>0</v>
      </c>
      <c r="AQ71" s="253">
        <v>0</v>
      </c>
      <c r="AR71" s="253">
        <v>126</v>
      </c>
      <c r="AS71" s="253">
        <v>1</v>
      </c>
      <c r="AT71" s="245"/>
      <c r="AU71" s="253" t="s">
        <v>599</v>
      </c>
      <c r="AV71" s="253">
        <v>0</v>
      </c>
      <c r="AW71" s="253">
        <v>0</v>
      </c>
      <c r="AX71" s="253">
        <v>0</v>
      </c>
      <c r="AY71" s="253">
        <v>7</v>
      </c>
      <c r="AZ71" s="253">
        <v>1</v>
      </c>
      <c r="BA71" s="245"/>
      <c r="BB71" s="253" t="s">
        <v>595</v>
      </c>
      <c r="BC71" s="253">
        <v>519600</v>
      </c>
      <c r="BD71" s="253">
        <v>5</v>
      </c>
      <c r="BE71" s="253">
        <v>4</v>
      </c>
      <c r="BF71" s="253">
        <v>438</v>
      </c>
      <c r="BG71" s="253">
        <v>1</v>
      </c>
      <c r="BH71" s="247" t="s">
        <v>595</v>
      </c>
      <c r="BI71" s="253">
        <v>310225</v>
      </c>
      <c r="BJ71" s="253">
        <v>3</v>
      </c>
      <c r="BK71" s="253">
        <v>2</v>
      </c>
      <c r="BL71" s="253">
        <v>24</v>
      </c>
      <c r="BM71" s="253">
        <v>1</v>
      </c>
      <c r="BN71" s="253"/>
      <c r="BO71" s="256" t="s">
        <v>494</v>
      </c>
      <c r="BP71" s="264" t="s">
        <v>617</v>
      </c>
      <c r="BQ71" s="264" t="s">
        <v>568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27178.578703169998</v>
      </c>
      <c r="I72" s="164"/>
      <c r="J72" s="3"/>
      <c r="K72" s="228"/>
      <c r="L72" s="228"/>
      <c r="M72" s="228"/>
      <c r="O72" s="241" t="s">
        <v>51</v>
      </c>
      <c r="P72" s="241">
        <v>26528.065339230001</v>
      </c>
      <c r="Q72" s="239"/>
      <c r="R72" s="157"/>
      <c r="S72" s="253" t="s">
        <v>448</v>
      </c>
      <c r="T72" s="258">
        <v>2663702</v>
      </c>
      <c r="U72" s="258">
        <v>433292</v>
      </c>
      <c r="V72" s="258">
        <v>3762</v>
      </c>
      <c r="W72" s="258">
        <v>545329</v>
      </c>
      <c r="X72" s="258">
        <v>1</v>
      </c>
      <c r="Y72" s="245"/>
      <c r="Z72" s="253" t="s">
        <v>600</v>
      </c>
      <c r="AA72" s="253">
        <v>4987694723.1549997</v>
      </c>
      <c r="AB72" s="253">
        <v>20330</v>
      </c>
      <c r="AC72" s="253">
        <v>2064</v>
      </c>
      <c r="AD72" s="253">
        <v>288442</v>
      </c>
      <c r="AE72" s="253">
        <v>1</v>
      </c>
      <c r="AF72" s="253"/>
      <c r="AG72" s="253" t="s">
        <v>600</v>
      </c>
      <c r="AH72" s="253">
        <v>186160908.20500001</v>
      </c>
      <c r="AI72" s="253">
        <v>770</v>
      </c>
      <c r="AJ72" s="253">
        <v>102</v>
      </c>
      <c r="AK72" s="253">
        <v>11789</v>
      </c>
      <c r="AL72" s="253">
        <v>1</v>
      </c>
      <c r="AM72" s="245"/>
      <c r="AN72" s="253" t="s">
        <v>600</v>
      </c>
      <c r="AO72" s="253">
        <v>4560405634.0299997</v>
      </c>
      <c r="AP72" s="253">
        <v>18168</v>
      </c>
      <c r="AQ72" s="253">
        <v>2814</v>
      </c>
      <c r="AR72" s="253">
        <v>266434</v>
      </c>
      <c r="AS72" s="253">
        <v>1</v>
      </c>
      <c r="AT72" s="245"/>
      <c r="AU72" s="253" t="s">
        <v>600</v>
      </c>
      <c r="AV72" s="253">
        <v>31314054.030000001</v>
      </c>
      <c r="AW72" s="253">
        <v>124</v>
      </c>
      <c r="AX72" s="253">
        <v>39</v>
      </c>
      <c r="AY72" s="253">
        <v>14207</v>
      </c>
      <c r="AZ72" s="253">
        <v>1</v>
      </c>
      <c r="BA72" s="245"/>
      <c r="BB72" s="253" t="s">
        <v>596</v>
      </c>
      <c r="BC72" s="253">
        <v>872250</v>
      </c>
      <c r="BD72" s="253">
        <v>10</v>
      </c>
      <c r="BE72" s="253">
        <v>3</v>
      </c>
      <c r="BF72" s="253">
        <v>728</v>
      </c>
      <c r="BG72" s="253">
        <v>1</v>
      </c>
      <c r="BH72" s="247" t="s">
        <v>596</v>
      </c>
      <c r="BI72" s="253">
        <v>0</v>
      </c>
      <c r="BJ72" s="253">
        <v>0</v>
      </c>
      <c r="BK72" s="253">
        <v>0</v>
      </c>
      <c r="BL72" s="253">
        <v>31</v>
      </c>
      <c r="BM72" s="253">
        <v>1</v>
      </c>
      <c r="BN72" s="253"/>
      <c r="BO72" s="247"/>
      <c r="BP72" s="263" t="s">
        <v>618</v>
      </c>
      <c r="BQ72" s="263">
        <v>3608052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15429.58</v>
      </c>
      <c r="I73" s="164"/>
      <c r="J73" s="3"/>
      <c r="K73" s="228"/>
      <c r="L73" s="228"/>
      <c r="M73" s="228"/>
      <c r="O73" s="241" t="s">
        <v>305</v>
      </c>
      <c r="P73" s="241">
        <v>15011.79</v>
      </c>
      <c r="Q73" s="239"/>
      <c r="R73" s="157"/>
      <c r="S73" s="247" t="s">
        <v>182</v>
      </c>
      <c r="T73" s="247">
        <v>73739037.784999996</v>
      </c>
      <c r="U73" s="247">
        <v>1427057</v>
      </c>
      <c r="V73" s="247">
        <v>430</v>
      </c>
      <c r="W73" s="247">
        <v>1130173</v>
      </c>
      <c r="X73" s="247">
        <v>1</v>
      </c>
      <c r="Y73" s="245"/>
      <c r="Z73" s="253" t="s">
        <v>612</v>
      </c>
      <c r="AA73" s="253">
        <v>0</v>
      </c>
      <c r="AB73" s="253">
        <v>0</v>
      </c>
      <c r="AC73" s="253">
        <v>0</v>
      </c>
      <c r="AD73" s="253">
        <v>0</v>
      </c>
      <c r="AE73" s="253">
        <v>1</v>
      </c>
      <c r="AF73" s="253"/>
      <c r="AG73" s="253" t="s">
        <v>612</v>
      </c>
      <c r="AH73" s="253">
        <v>0</v>
      </c>
      <c r="AI73" s="253">
        <v>0</v>
      </c>
      <c r="AJ73" s="253">
        <v>0</v>
      </c>
      <c r="AK73" s="253">
        <v>0</v>
      </c>
      <c r="AL73" s="253">
        <v>1</v>
      </c>
      <c r="AM73" s="245"/>
      <c r="AN73" s="253" t="s">
        <v>612</v>
      </c>
      <c r="AO73" s="253">
        <v>0</v>
      </c>
      <c r="AP73" s="253">
        <v>0</v>
      </c>
      <c r="AQ73" s="253">
        <v>0</v>
      </c>
      <c r="AR73" s="253">
        <v>0</v>
      </c>
      <c r="AS73" s="253">
        <v>1</v>
      </c>
      <c r="AT73" s="245"/>
      <c r="AU73" s="253" t="s">
        <v>612</v>
      </c>
      <c r="AV73" s="253">
        <v>0</v>
      </c>
      <c r="AW73" s="253">
        <v>0</v>
      </c>
      <c r="AX73" s="253">
        <v>0</v>
      </c>
      <c r="AY73" s="253">
        <v>0</v>
      </c>
      <c r="AZ73" s="253">
        <v>1</v>
      </c>
      <c r="BA73" s="245"/>
      <c r="BB73" s="253" t="s">
        <v>597</v>
      </c>
      <c r="BC73" s="253">
        <v>4544920</v>
      </c>
      <c r="BD73" s="253">
        <v>47</v>
      </c>
      <c r="BE73" s="253">
        <v>5</v>
      </c>
      <c r="BF73" s="253">
        <v>3060</v>
      </c>
      <c r="BG73" s="253">
        <v>1</v>
      </c>
      <c r="BH73" s="247" t="s">
        <v>597</v>
      </c>
      <c r="BI73" s="253">
        <v>0</v>
      </c>
      <c r="BJ73" s="253">
        <v>0</v>
      </c>
      <c r="BK73" s="253">
        <v>0</v>
      </c>
      <c r="BL73" s="253">
        <v>170</v>
      </c>
      <c r="BM73" s="253">
        <v>1</v>
      </c>
      <c r="BN73" s="253"/>
      <c r="BO73" s="247"/>
      <c r="BP73" s="263" t="s">
        <v>619</v>
      </c>
      <c r="BQ73" s="263">
        <v>1567597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549</v>
      </c>
      <c r="H74" s="223">
        <v>62264.599179279998</v>
      </c>
      <c r="I74" s="164"/>
      <c r="J74" s="3"/>
      <c r="K74" s="228"/>
      <c r="L74" s="228"/>
      <c r="M74" s="228"/>
      <c r="O74" s="241" t="s">
        <v>549</v>
      </c>
      <c r="P74" s="241">
        <v>62227.62187943</v>
      </c>
      <c r="Q74" s="239"/>
      <c r="R74" s="157"/>
      <c r="S74" s="247" t="s">
        <v>446</v>
      </c>
      <c r="T74" s="247">
        <v>316277454510.18481</v>
      </c>
      <c r="U74" s="247">
        <v>970105</v>
      </c>
      <c r="V74" s="247">
        <v>241920</v>
      </c>
      <c r="W74" s="247">
        <v>560071</v>
      </c>
      <c r="X74" s="247">
        <v>1</v>
      </c>
      <c r="Y74" s="245"/>
      <c r="Z74" s="253" t="s">
        <v>601</v>
      </c>
      <c r="AA74" s="253">
        <v>231776154.91999999</v>
      </c>
      <c r="AB74" s="253">
        <v>494</v>
      </c>
      <c r="AC74" s="253">
        <v>130</v>
      </c>
      <c r="AD74" s="253">
        <v>2759</v>
      </c>
      <c r="AE74" s="253">
        <v>1</v>
      </c>
      <c r="AF74" s="253"/>
      <c r="AG74" s="253" t="s">
        <v>601</v>
      </c>
      <c r="AH74" s="253">
        <v>12829880</v>
      </c>
      <c r="AI74" s="253">
        <v>28</v>
      </c>
      <c r="AJ74" s="253">
        <v>4</v>
      </c>
      <c r="AK74" s="253">
        <v>133</v>
      </c>
      <c r="AL74" s="253">
        <v>1</v>
      </c>
      <c r="AM74" s="245"/>
      <c r="AN74" s="253" t="s">
        <v>601</v>
      </c>
      <c r="AO74" s="253">
        <v>350582779.47000003</v>
      </c>
      <c r="AP74" s="253">
        <v>734</v>
      </c>
      <c r="AQ74" s="253">
        <v>130</v>
      </c>
      <c r="AR74" s="253">
        <v>1538</v>
      </c>
      <c r="AS74" s="253">
        <v>1</v>
      </c>
      <c r="AT74" s="245"/>
      <c r="AU74" s="253" t="s">
        <v>601</v>
      </c>
      <c r="AV74" s="253">
        <v>7715960</v>
      </c>
      <c r="AW74" s="253">
        <v>16</v>
      </c>
      <c r="AX74" s="253">
        <v>4</v>
      </c>
      <c r="AY74" s="253">
        <v>50</v>
      </c>
      <c r="AZ74" s="253">
        <v>1</v>
      </c>
      <c r="BA74" s="245"/>
      <c r="BB74" s="253" t="s">
        <v>598</v>
      </c>
      <c r="BC74" s="253">
        <v>0</v>
      </c>
      <c r="BD74" s="253">
        <v>0</v>
      </c>
      <c r="BE74" s="253">
        <v>0</v>
      </c>
      <c r="BF74" s="253">
        <v>1144</v>
      </c>
      <c r="BG74" s="253">
        <v>1</v>
      </c>
      <c r="BH74" s="247" t="s">
        <v>598</v>
      </c>
      <c r="BI74" s="253">
        <v>0</v>
      </c>
      <c r="BJ74" s="253">
        <v>0</v>
      </c>
      <c r="BK74" s="253">
        <v>0</v>
      </c>
      <c r="BL74" s="253">
        <v>52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363.14784065999999</v>
      </c>
      <c r="I75" s="164"/>
      <c r="J75" s="3"/>
      <c r="K75" s="228"/>
      <c r="L75" s="228"/>
      <c r="M75" s="228"/>
      <c r="O75" s="241" t="s">
        <v>101</v>
      </c>
      <c r="P75" s="241">
        <v>355.39793909999997</v>
      </c>
      <c r="Q75" s="239"/>
      <c r="S75" s="254" t="s">
        <v>449</v>
      </c>
      <c r="T75" s="257">
        <v>330425565.35399997</v>
      </c>
      <c r="U75" s="257">
        <v>244958</v>
      </c>
      <c r="V75" s="257">
        <v>79</v>
      </c>
      <c r="W75" s="257">
        <v>8116040</v>
      </c>
      <c r="X75" s="257">
        <v>1</v>
      </c>
      <c r="Y75" s="245"/>
      <c r="Z75" s="253" t="s">
        <v>602</v>
      </c>
      <c r="AA75" s="253">
        <v>76770519.239999995</v>
      </c>
      <c r="AB75" s="253">
        <v>154</v>
      </c>
      <c r="AC75" s="253">
        <v>20</v>
      </c>
      <c r="AD75" s="253">
        <v>1927</v>
      </c>
      <c r="AE75" s="253">
        <v>1</v>
      </c>
      <c r="AF75" s="253"/>
      <c r="AG75" s="253" t="s">
        <v>602</v>
      </c>
      <c r="AH75" s="253">
        <v>1845200</v>
      </c>
      <c r="AI75" s="253">
        <v>4</v>
      </c>
      <c r="AJ75" s="253">
        <v>1</v>
      </c>
      <c r="AK75" s="253">
        <v>91</v>
      </c>
      <c r="AL75" s="253">
        <v>1</v>
      </c>
      <c r="AM75" s="245"/>
      <c r="AN75" s="253" t="s">
        <v>602</v>
      </c>
      <c r="AO75" s="253">
        <v>35334339.759999998</v>
      </c>
      <c r="AP75" s="253">
        <v>71</v>
      </c>
      <c r="AQ75" s="253">
        <v>10</v>
      </c>
      <c r="AR75" s="253">
        <v>1461</v>
      </c>
      <c r="AS75" s="253">
        <v>1</v>
      </c>
      <c r="AT75" s="245"/>
      <c r="AU75" s="253" t="s">
        <v>602</v>
      </c>
      <c r="AV75" s="253">
        <v>0</v>
      </c>
      <c r="AW75" s="253">
        <v>0</v>
      </c>
      <c r="AX75" s="253">
        <v>0</v>
      </c>
      <c r="AY75" s="253">
        <v>84</v>
      </c>
      <c r="AZ75" s="253">
        <v>1</v>
      </c>
      <c r="BA75" s="245"/>
      <c r="BB75" s="253" t="s">
        <v>599</v>
      </c>
      <c r="BC75" s="253">
        <v>7417600</v>
      </c>
      <c r="BD75" s="253">
        <v>22</v>
      </c>
      <c r="BE75" s="253">
        <v>4</v>
      </c>
      <c r="BF75" s="253">
        <v>289</v>
      </c>
      <c r="BG75" s="253">
        <v>1</v>
      </c>
      <c r="BH75" s="247" t="s">
        <v>599</v>
      </c>
      <c r="BI75" s="253">
        <v>1490000</v>
      </c>
      <c r="BJ75" s="253">
        <v>5</v>
      </c>
      <c r="BK75" s="253">
        <v>1</v>
      </c>
      <c r="BL75" s="253">
        <v>23</v>
      </c>
      <c r="BM75" s="253">
        <v>1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624.74561068000003</v>
      </c>
      <c r="I76" s="164"/>
      <c r="J76" s="3"/>
      <c r="K76" s="228"/>
      <c r="L76" s="228"/>
      <c r="M76" s="228"/>
      <c r="O76" s="241" t="s">
        <v>103</v>
      </c>
      <c r="P76" s="241">
        <v>605.09881410000003</v>
      </c>
      <c r="Q76" s="239"/>
      <c r="R76" s="157"/>
      <c r="S76" s="253" t="s">
        <v>450</v>
      </c>
      <c r="T76" s="258">
        <v>0</v>
      </c>
      <c r="U76" s="258">
        <v>233188</v>
      </c>
      <c r="V76" s="258">
        <v>77</v>
      </c>
      <c r="W76" s="258">
        <v>7988422</v>
      </c>
      <c r="X76" s="258">
        <v>1</v>
      </c>
      <c r="Y76" s="245"/>
      <c r="Z76" s="253" t="s">
        <v>603</v>
      </c>
      <c r="AA76" s="253">
        <v>22093414.905000001</v>
      </c>
      <c r="AB76" s="253">
        <v>99</v>
      </c>
      <c r="AC76" s="253">
        <v>12</v>
      </c>
      <c r="AD76" s="253">
        <v>807</v>
      </c>
      <c r="AE76" s="253">
        <v>1</v>
      </c>
      <c r="AF76" s="253"/>
      <c r="AG76" s="253" t="s">
        <v>603</v>
      </c>
      <c r="AH76" s="253">
        <v>0</v>
      </c>
      <c r="AI76" s="253">
        <v>0</v>
      </c>
      <c r="AJ76" s="253">
        <v>0</v>
      </c>
      <c r="AK76" s="253">
        <v>48</v>
      </c>
      <c r="AL76" s="253">
        <v>1</v>
      </c>
      <c r="AM76" s="245"/>
      <c r="AN76" s="253" t="s">
        <v>603</v>
      </c>
      <c r="AO76" s="253">
        <v>1646035</v>
      </c>
      <c r="AP76" s="253">
        <v>7</v>
      </c>
      <c r="AQ76" s="253">
        <v>3</v>
      </c>
      <c r="AR76" s="253">
        <v>71</v>
      </c>
      <c r="AS76" s="253">
        <v>1</v>
      </c>
      <c r="AT76" s="245"/>
      <c r="AU76" s="253" t="s">
        <v>603</v>
      </c>
      <c r="AV76" s="253">
        <v>0</v>
      </c>
      <c r="AW76" s="253">
        <v>0</v>
      </c>
      <c r="AX76" s="253">
        <v>0</v>
      </c>
      <c r="AY76" s="253">
        <v>6</v>
      </c>
      <c r="AZ76" s="253">
        <v>1</v>
      </c>
      <c r="BA76" s="245"/>
      <c r="BB76" s="253" t="s">
        <v>600</v>
      </c>
      <c r="BC76" s="253">
        <v>6583007581.5799999</v>
      </c>
      <c r="BD76" s="253">
        <v>28296</v>
      </c>
      <c r="BE76" s="253">
        <v>1967</v>
      </c>
      <c r="BF76" s="253">
        <v>313675</v>
      </c>
      <c r="BG76" s="253">
        <v>1</v>
      </c>
      <c r="BH76" s="245" t="s">
        <v>600</v>
      </c>
      <c r="BI76" s="253">
        <v>277435142.36500001</v>
      </c>
      <c r="BJ76" s="253">
        <v>1208</v>
      </c>
      <c r="BK76" s="253">
        <v>83</v>
      </c>
      <c r="BL76" s="253">
        <v>14079</v>
      </c>
      <c r="BM76" s="253">
        <v>1</v>
      </c>
      <c r="BN76" s="253"/>
      <c r="BO76" s="247"/>
      <c r="BP76" s="263">
        <v>55955067872.221977</v>
      </c>
      <c r="BQ76" s="263">
        <v>206184</v>
      </c>
      <c r="BR76" s="263">
        <v>33307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4225.47960238</v>
      </c>
      <c r="I77" s="164"/>
      <c r="J77" s="3"/>
      <c r="K77" s="228"/>
      <c r="L77" s="228"/>
      <c r="M77" s="228"/>
      <c r="O77" s="241" t="s">
        <v>306</v>
      </c>
      <c r="P77" s="241">
        <v>4415.6941182399996</v>
      </c>
      <c r="Q77" s="239"/>
      <c r="R77" s="157"/>
      <c r="S77" s="253" t="s">
        <v>447</v>
      </c>
      <c r="T77" s="258">
        <v>9635947925.5680008</v>
      </c>
      <c r="U77" s="258">
        <v>614040</v>
      </c>
      <c r="V77" s="258">
        <v>4014</v>
      </c>
      <c r="W77" s="258">
        <v>858189</v>
      </c>
      <c r="X77" s="258">
        <v>1</v>
      </c>
      <c r="Y77" s="245"/>
      <c r="Z77" s="253" t="s">
        <v>604</v>
      </c>
      <c r="AA77" s="253">
        <v>41789140</v>
      </c>
      <c r="AB77" s="253">
        <v>901</v>
      </c>
      <c r="AC77" s="253">
        <v>42</v>
      </c>
      <c r="AD77" s="253">
        <v>8305</v>
      </c>
      <c r="AE77" s="253">
        <v>1</v>
      </c>
      <c r="AF77" s="253"/>
      <c r="AG77" s="253" t="s">
        <v>604</v>
      </c>
      <c r="AH77" s="253">
        <v>0</v>
      </c>
      <c r="AI77" s="253">
        <v>0</v>
      </c>
      <c r="AJ77" s="253">
        <v>0</v>
      </c>
      <c r="AK77" s="253">
        <v>378</v>
      </c>
      <c r="AL77" s="253">
        <v>1</v>
      </c>
      <c r="AM77" s="245"/>
      <c r="AN77" s="253" t="s">
        <v>604</v>
      </c>
      <c r="AO77" s="253">
        <v>32438635.5</v>
      </c>
      <c r="AP77" s="253">
        <v>705</v>
      </c>
      <c r="AQ77" s="253">
        <v>32</v>
      </c>
      <c r="AR77" s="253">
        <v>4527</v>
      </c>
      <c r="AS77" s="253">
        <v>1</v>
      </c>
      <c r="AT77" s="245"/>
      <c r="AU77" s="253" t="s">
        <v>604</v>
      </c>
      <c r="AV77" s="253">
        <v>990687.5</v>
      </c>
      <c r="AW77" s="253">
        <v>22</v>
      </c>
      <c r="AX77" s="253">
        <v>2</v>
      </c>
      <c r="AY77" s="253">
        <v>325</v>
      </c>
      <c r="AZ77" s="253">
        <v>1</v>
      </c>
      <c r="BA77" s="245"/>
      <c r="BB77" s="253" t="s">
        <v>612</v>
      </c>
      <c r="BC77" s="253">
        <v>21000</v>
      </c>
      <c r="BD77" s="253">
        <v>4</v>
      </c>
      <c r="BE77" s="253">
        <v>1</v>
      </c>
      <c r="BF77" s="253">
        <v>8</v>
      </c>
      <c r="BG77" s="253">
        <v>1</v>
      </c>
      <c r="BH77" s="245" t="s">
        <v>612</v>
      </c>
      <c r="BI77" s="253">
        <v>0</v>
      </c>
      <c r="BJ77" s="253">
        <v>0</v>
      </c>
      <c r="BK77" s="253">
        <v>0</v>
      </c>
      <c r="BL77" s="253">
        <v>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43348</v>
      </c>
      <c r="D78" s="190">
        <v>76814.837934449999</v>
      </c>
      <c r="E78" s="223">
        <v>1</v>
      </c>
      <c r="F78" s="209"/>
      <c r="G78" s="223" t="s">
        <v>307</v>
      </c>
      <c r="H78" s="223">
        <v>182.93918400999999</v>
      </c>
      <c r="I78" s="164"/>
      <c r="J78" s="63"/>
      <c r="K78" s="228"/>
      <c r="L78" s="228"/>
      <c r="M78" s="228"/>
      <c r="O78" s="241" t="s">
        <v>307</v>
      </c>
      <c r="P78" s="241">
        <v>172.06580101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605</v>
      </c>
      <c r="AA78" s="253">
        <v>360528</v>
      </c>
      <c r="AB78" s="253">
        <v>25</v>
      </c>
      <c r="AC78" s="253">
        <v>2</v>
      </c>
      <c r="AD78" s="253">
        <v>655</v>
      </c>
      <c r="AE78" s="253">
        <v>1</v>
      </c>
      <c r="AF78" s="253"/>
      <c r="AG78" s="253" t="s">
        <v>605</v>
      </c>
      <c r="AH78" s="253">
        <v>0</v>
      </c>
      <c r="AI78" s="253">
        <v>0</v>
      </c>
      <c r="AJ78" s="253">
        <v>0</v>
      </c>
      <c r="AK78" s="253">
        <v>25</v>
      </c>
      <c r="AL78" s="253">
        <v>1</v>
      </c>
      <c r="AM78" s="245"/>
      <c r="AN78" s="253" t="s">
        <v>605</v>
      </c>
      <c r="AO78" s="253">
        <v>291200</v>
      </c>
      <c r="AP78" s="253">
        <v>20</v>
      </c>
      <c r="AQ78" s="253">
        <v>1</v>
      </c>
      <c r="AR78" s="253">
        <v>860</v>
      </c>
      <c r="AS78" s="253">
        <v>1</v>
      </c>
      <c r="AT78" s="245"/>
      <c r="AU78" s="253" t="s">
        <v>605</v>
      </c>
      <c r="AV78" s="253">
        <v>0</v>
      </c>
      <c r="AW78" s="253">
        <v>0</v>
      </c>
      <c r="AX78" s="253">
        <v>0</v>
      </c>
      <c r="AY78" s="253">
        <v>50</v>
      </c>
      <c r="AZ78" s="253">
        <v>1</v>
      </c>
      <c r="BA78" s="245"/>
      <c r="BB78" s="253" t="s">
        <v>601</v>
      </c>
      <c r="BC78" s="253">
        <v>296858430.47000003</v>
      </c>
      <c r="BD78" s="253">
        <v>661</v>
      </c>
      <c r="BE78" s="253">
        <v>128</v>
      </c>
      <c r="BF78" s="253">
        <v>8649</v>
      </c>
      <c r="BG78" s="253">
        <v>1</v>
      </c>
      <c r="BH78" s="245" t="s">
        <v>601</v>
      </c>
      <c r="BI78" s="253">
        <v>1337660</v>
      </c>
      <c r="BJ78" s="253">
        <v>3</v>
      </c>
      <c r="BK78" s="253">
        <v>2</v>
      </c>
      <c r="BL78" s="253">
        <v>395</v>
      </c>
      <c r="BM78" s="253">
        <v>1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7277.5538530499998</v>
      </c>
      <c r="I79" s="164"/>
      <c r="J79" s="63"/>
      <c r="K79" s="228"/>
      <c r="L79" s="228"/>
      <c r="M79" s="228"/>
      <c r="O79" s="241" t="s">
        <v>308</v>
      </c>
      <c r="P79" s="241">
        <v>7462.3161671799999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606</v>
      </c>
      <c r="AA79" s="253">
        <v>2856569948.1999998</v>
      </c>
      <c r="AB79" s="253">
        <v>10328</v>
      </c>
      <c r="AC79" s="253">
        <v>1892</v>
      </c>
      <c r="AD79" s="253">
        <v>91245</v>
      </c>
      <c r="AE79" s="253">
        <v>1</v>
      </c>
      <c r="AF79" s="253"/>
      <c r="AG79" s="253" t="s">
        <v>606</v>
      </c>
      <c r="AH79" s="253">
        <v>105855417.44499999</v>
      </c>
      <c r="AI79" s="253">
        <v>381</v>
      </c>
      <c r="AJ79" s="253">
        <v>31</v>
      </c>
      <c r="AK79" s="253">
        <v>3911</v>
      </c>
      <c r="AL79" s="253">
        <v>1</v>
      </c>
      <c r="AM79" s="245"/>
      <c r="AN79" s="253" t="s">
        <v>606</v>
      </c>
      <c r="AO79" s="253">
        <v>4202175308.8200002</v>
      </c>
      <c r="AP79" s="253">
        <v>15738</v>
      </c>
      <c r="AQ79" s="253">
        <v>2357</v>
      </c>
      <c r="AR79" s="253">
        <v>92878</v>
      </c>
      <c r="AS79" s="253">
        <v>1</v>
      </c>
      <c r="AT79" s="245"/>
      <c r="AU79" s="253" t="s">
        <v>606</v>
      </c>
      <c r="AV79" s="253">
        <v>95461280.025000006</v>
      </c>
      <c r="AW79" s="253">
        <v>332</v>
      </c>
      <c r="AX79" s="253">
        <v>68</v>
      </c>
      <c r="AY79" s="253">
        <v>4447</v>
      </c>
      <c r="AZ79" s="253">
        <v>1</v>
      </c>
      <c r="BA79" s="245"/>
      <c r="BB79" s="253" t="s">
        <v>602</v>
      </c>
      <c r="BC79" s="253">
        <v>31997900.050000001</v>
      </c>
      <c r="BD79" s="253">
        <v>71</v>
      </c>
      <c r="BE79" s="253">
        <v>18</v>
      </c>
      <c r="BF79" s="253">
        <v>779</v>
      </c>
      <c r="BG79" s="253">
        <v>1</v>
      </c>
      <c r="BH79" s="245" t="s">
        <v>602</v>
      </c>
      <c r="BI79" s="253">
        <v>4523000</v>
      </c>
      <c r="BJ79" s="253">
        <v>10</v>
      </c>
      <c r="BK79" s="253">
        <v>1</v>
      </c>
      <c r="BL79" s="253">
        <v>67</v>
      </c>
      <c r="BM79" s="253">
        <v>1</v>
      </c>
      <c r="BN79" s="253"/>
      <c r="BO79" s="251"/>
      <c r="BP79" s="263">
        <v>1725337529.1199901</v>
      </c>
      <c r="BQ79" s="263">
        <v>50592</v>
      </c>
      <c r="BR79" s="263">
        <v>5642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11.39223144</v>
      </c>
      <c r="I80" s="164"/>
      <c r="J80" s="3"/>
      <c r="K80" s="228"/>
      <c r="L80" s="228"/>
      <c r="M80" s="228"/>
      <c r="O80" s="241" t="s">
        <v>309</v>
      </c>
      <c r="P80" s="241">
        <v>11.80399884</v>
      </c>
      <c r="Q80" s="239"/>
      <c r="R80" s="153" t="s">
        <v>457</v>
      </c>
      <c r="S80" s="253" t="s">
        <v>564</v>
      </c>
      <c r="T80" s="258" t="s">
        <v>565</v>
      </c>
      <c r="U80" s="258" t="s">
        <v>566</v>
      </c>
      <c r="V80" s="258" t="s">
        <v>567</v>
      </c>
      <c r="W80" s="258" t="s">
        <v>568</v>
      </c>
      <c r="X80" s="258" t="s">
        <v>569</v>
      </c>
      <c r="Y80" s="245"/>
      <c r="Z80" s="245" t="s">
        <v>607</v>
      </c>
      <c r="AA80" s="245">
        <v>26718359010.82999</v>
      </c>
      <c r="AB80" s="245">
        <v>87376</v>
      </c>
      <c r="AC80" s="245">
        <v>17556</v>
      </c>
      <c r="AD80" s="245">
        <v>627217</v>
      </c>
      <c r="AE80" s="245">
        <v>1</v>
      </c>
      <c r="AF80" s="245"/>
      <c r="AG80" s="245" t="s">
        <v>607</v>
      </c>
      <c r="AH80" s="245">
        <v>1461257497.6600001</v>
      </c>
      <c r="AI80" s="245">
        <v>5076</v>
      </c>
      <c r="AJ80" s="245">
        <v>828</v>
      </c>
      <c r="AK80" s="245">
        <v>27242</v>
      </c>
      <c r="AL80" s="245">
        <v>1</v>
      </c>
      <c r="AM80" s="245"/>
      <c r="AN80" s="245" t="s">
        <v>607</v>
      </c>
      <c r="AO80" s="245">
        <v>28658597713.73999</v>
      </c>
      <c r="AP80" s="245">
        <v>100068</v>
      </c>
      <c r="AQ80" s="245">
        <v>16932</v>
      </c>
      <c r="AR80" s="245">
        <v>521159</v>
      </c>
      <c r="AS80" s="245">
        <v>1</v>
      </c>
      <c r="AT80" s="245"/>
      <c r="AU80" s="245" t="s">
        <v>607</v>
      </c>
      <c r="AV80" s="245">
        <v>953431858.33000004</v>
      </c>
      <c r="AW80" s="245">
        <v>3221</v>
      </c>
      <c r="AX80" s="245">
        <v>556</v>
      </c>
      <c r="AY80" s="245">
        <v>29559</v>
      </c>
      <c r="AZ80" s="245">
        <v>1</v>
      </c>
      <c r="BA80" s="245"/>
      <c r="BB80" s="245" t="s">
        <v>603</v>
      </c>
      <c r="BC80" s="245">
        <v>21619250</v>
      </c>
      <c r="BD80" s="245">
        <v>97</v>
      </c>
      <c r="BE80" s="245">
        <v>9</v>
      </c>
      <c r="BF80" s="245">
        <v>612</v>
      </c>
      <c r="BG80" s="245">
        <v>1</v>
      </c>
      <c r="BH80" s="245" t="s">
        <v>603</v>
      </c>
      <c r="BI80" s="245">
        <v>0</v>
      </c>
      <c r="BJ80" s="245">
        <v>0</v>
      </c>
      <c r="BK80" s="245">
        <v>0</v>
      </c>
      <c r="BL80" s="245">
        <v>63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906.97676039999999</v>
      </c>
      <c r="I81" s="164"/>
      <c r="J81" s="3"/>
      <c r="K81" s="228"/>
      <c r="L81" s="228"/>
      <c r="M81" s="228"/>
      <c r="O81" s="241" t="s">
        <v>311</v>
      </c>
      <c r="P81" s="241">
        <v>935.34163209999997</v>
      </c>
      <c r="Q81" s="239"/>
      <c r="R81" s="157"/>
      <c r="S81" s="253" t="s">
        <v>570</v>
      </c>
      <c r="T81" s="258">
        <v>0</v>
      </c>
      <c r="U81" s="258">
        <v>0</v>
      </c>
      <c r="V81" s="258">
        <v>0</v>
      </c>
      <c r="W81" s="258">
        <v>0</v>
      </c>
      <c r="X81" s="258">
        <v>0</v>
      </c>
      <c r="Y81" s="245"/>
      <c r="Z81" s="245" t="s">
        <v>608</v>
      </c>
      <c r="AA81" s="245">
        <v>12388317848.65999</v>
      </c>
      <c r="AB81" s="245">
        <v>44834</v>
      </c>
      <c r="AC81" s="245">
        <v>7790</v>
      </c>
      <c r="AD81" s="245">
        <v>560627</v>
      </c>
      <c r="AE81" s="245">
        <v>1</v>
      </c>
      <c r="AF81" s="245"/>
      <c r="AG81" s="245" t="s">
        <v>608</v>
      </c>
      <c r="AH81" s="245">
        <v>628664006.84000003</v>
      </c>
      <c r="AI81" s="245">
        <v>2352</v>
      </c>
      <c r="AJ81" s="245">
        <v>558</v>
      </c>
      <c r="AK81" s="245">
        <v>22895</v>
      </c>
      <c r="AL81" s="245">
        <v>1</v>
      </c>
      <c r="AM81" s="245"/>
      <c r="AN81" s="245" t="s">
        <v>608</v>
      </c>
      <c r="AO81" s="245">
        <v>14146523315.93</v>
      </c>
      <c r="AP81" s="245">
        <v>52866</v>
      </c>
      <c r="AQ81" s="245">
        <v>8960</v>
      </c>
      <c r="AR81" s="245">
        <v>453995</v>
      </c>
      <c r="AS81" s="245">
        <v>1</v>
      </c>
      <c r="AT81" s="245"/>
      <c r="AU81" s="245" t="s">
        <v>608</v>
      </c>
      <c r="AV81" s="245">
        <v>405338463.19</v>
      </c>
      <c r="AW81" s="245">
        <v>1457</v>
      </c>
      <c r="AX81" s="245">
        <v>231</v>
      </c>
      <c r="AY81" s="245">
        <v>26032</v>
      </c>
      <c r="AZ81" s="245">
        <v>1</v>
      </c>
      <c r="BA81" s="245"/>
      <c r="BB81" s="245" t="s">
        <v>604</v>
      </c>
      <c r="BC81" s="245">
        <v>9692815</v>
      </c>
      <c r="BD81" s="245">
        <v>200</v>
      </c>
      <c r="BE81" s="245">
        <v>3</v>
      </c>
      <c r="BF81" s="245">
        <v>1280</v>
      </c>
      <c r="BG81" s="245">
        <v>1</v>
      </c>
      <c r="BH81" s="245" t="s">
        <v>604</v>
      </c>
      <c r="BI81" s="245">
        <v>0</v>
      </c>
      <c r="BJ81" s="245">
        <v>0</v>
      </c>
      <c r="BK81" s="245">
        <v>0</v>
      </c>
      <c r="BL81" s="245">
        <v>0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5953.2559239800003</v>
      </c>
      <c r="I82" s="164"/>
      <c r="J82" s="157"/>
      <c r="K82" s="228"/>
      <c r="L82" s="228"/>
      <c r="M82" s="228"/>
      <c r="O82" s="241" t="s">
        <v>312</v>
      </c>
      <c r="P82" s="241">
        <v>5996.8297347500002</v>
      </c>
      <c r="Q82" s="239"/>
      <c r="R82" s="157"/>
      <c r="S82" s="253" t="s">
        <v>451</v>
      </c>
      <c r="T82" s="258">
        <v>0</v>
      </c>
      <c r="U82" s="258">
        <v>0</v>
      </c>
      <c r="V82" s="258">
        <v>0</v>
      </c>
      <c r="W82" s="258">
        <v>213084</v>
      </c>
      <c r="X82" s="258">
        <v>0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605</v>
      </c>
      <c r="BC82" s="245">
        <v>561512</v>
      </c>
      <c r="BD82" s="245">
        <v>35</v>
      </c>
      <c r="BE82" s="245">
        <v>3</v>
      </c>
      <c r="BF82" s="245">
        <v>445</v>
      </c>
      <c r="BG82" s="245">
        <v>1</v>
      </c>
      <c r="BH82" s="245" t="s">
        <v>605</v>
      </c>
      <c r="BI82" s="245">
        <v>0</v>
      </c>
      <c r="BJ82" s="245">
        <v>0</v>
      </c>
      <c r="BK82" s="245">
        <v>0</v>
      </c>
      <c r="BL82" s="245">
        <v>20</v>
      </c>
      <c r="BM82" s="245">
        <v>1</v>
      </c>
      <c r="BN82" s="245"/>
      <c r="BO82" s="247"/>
      <c r="BP82" s="263">
        <v>46759607667.574989</v>
      </c>
      <c r="BQ82" s="263">
        <v>229895</v>
      </c>
      <c r="BR82" s="263">
        <v>39102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1281.21261985</v>
      </c>
      <c r="I83" s="164"/>
      <c r="J83" s="157"/>
      <c r="K83" s="228"/>
      <c r="L83" s="228"/>
      <c r="M83" s="228"/>
      <c r="O83" s="241" t="s">
        <v>313</v>
      </c>
      <c r="P83" s="241">
        <v>1224.0810876400001</v>
      </c>
      <c r="Q83" s="239"/>
      <c r="R83" s="157"/>
      <c r="S83" s="253" t="s">
        <v>448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606</v>
      </c>
      <c r="BC83" s="245">
        <v>4466843927.1300001</v>
      </c>
      <c r="BD83" s="245">
        <v>18822</v>
      </c>
      <c r="BE83" s="245">
        <v>2959</v>
      </c>
      <c r="BF83" s="245">
        <v>169303</v>
      </c>
      <c r="BG83" s="245">
        <v>1</v>
      </c>
      <c r="BH83" s="245" t="s">
        <v>606</v>
      </c>
      <c r="BI83" s="245">
        <v>183069139.31999999</v>
      </c>
      <c r="BJ83" s="245">
        <v>766</v>
      </c>
      <c r="BK83" s="245">
        <v>156</v>
      </c>
      <c r="BL83" s="245">
        <v>7522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10513.00423239</v>
      </c>
      <c r="I84" s="164"/>
      <c r="J84" s="157"/>
      <c r="K84" s="228"/>
      <c r="L84" s="228"/>
      <c r="M84" s="228"/>
      <c r="O84" s="241" t="s">
        <v>60</v>
      </c>
      <c r="P84" s="241">
        <v>10219.028980569999</v>
      </c>
      <c r="Q84" s="239"/>
      <c r="R84" s="157"/>
      <c r="S84" s="253" t="s">
        <v>446</v>
      </c>
      <c r="T84" s="258">
        <v>1976904</v>
      </c>
      <c r="U84" s="258">
        <v>1244</v>
      </c>
      <c r="V84" s="258">
        <v>27</v>
      </c>
      <c r="W84" s="258">
        <v>1000234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607</v>
      </c>
      <c r="BC84" s="245">
        <v>19487187070.319988</v>
      </c>
      <c r="BD84" s="245">
        <v>96486</v>
      </c>
      <c r="BE84" s="245">
        <v>22205</v>
      </c>
      <c r="BF84" s="245">
        <v>808367</v>
      </c>
      <c r="BG84" s="245">
        <v>1</v>
      </c>
      <c r="BH84" s="245" t="s">
        <v>607</v>
      </c>
      <c r="BI84" s="245">
        <v>834211729.44000006</v>
      </c>
      <c r="BJ84" s="245">
        <v>4322</v>
      </c>
      <c r="BK84" s="245">
        <v>855</v>
      </c>
      <c r="BL84" s="245">
        <v>36716</v>
      </c>
      <c r="BM84" s="245">
        <v>1</v>
      </c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11722.37298301</v>
      </c>
      <c r="I85" s="164"/>
      <c r="J85" s="157"/>
      <c r="K85" s="228"/>
      <c r="L85" s="228"/>
      <c r="M85" s="228"/>
      <c r="O85" s="241" t="s">
        <v>53</v>
      </c>
      <c r="P85" s="241">
        <v>11386.345563319999</v>
      </c>
      <c r="Q85" s="239"/>
      <c r="R85" s="157"/>
      <c r="S85" s="253" t="s">
        <v>449</v>
      </c>
      <c r="T85" s="258">
        <v>0</v>
      </c>
      <c r="U85" s="258">
        <v>0</v>
      </c>
      <c r="V85" s="258">
        <v>0</v>
      </c>
      <c r="W85" s="258">
        <v>0</v>
      </c>
      <c r="X85" s="258">
        <v>0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608</v>
      </c>
      <c r="BC85" s="245">
        <v>7615322574.3199997</v>
      </c>
      <c r="BD85" s="245">
        <v>37326</v>
      </c>
      <c r="BE85" s="245">
        <v>6658</v>
      </c>
      <c r="BF85" s="245">
        <v>470050</v>
      </c>
      <c r="BG85" s="245">
        <v>1</v>
      </c>
      <c r="BH85" s="245" t="s">
        <v>608</v>
      </c>
      <c r="BI85" s="245">
        <v>227502873.59999999</v>
      </c>
      <c r="BJ85" s="245">
        <v>1158</v>
      </c>
      <c r="BK85" s="245">
        <v>201</v>
      </c>
      <c r="BL85" s="245">
        <v>21080</v>
      </c>
      <c r="BM85" s="245">
        <v>1</v>
      </c>
      <c r="BN85" s="245"/>
      <c r="BO85" s="247"/>
      <c r="BP85" s="263">
        <v>298000410.51999998</v>
      </c>
      <c r="BQ85" s="263">
        <v>35602</v>
      </c>
      <c r="BR85" s="263">
        <v>3749</v>
      </c>
    </row>
    <row r="86" spans="1:70" x14ac:dyDescent="0.2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550</v>
      </c>
      <c r="H86" s="223">
        <v>16502.332274079999</v>
      </c>
      <c r="I86" s="164"/>
      <c r="J86" s="157"/>
      <c r="K86" s="228"/>
      <c r="L86" s="228"/>
      <c r="M86" s="228"/>
      <c r="O86" s="241" t="s">
        <v>550</v>
      </c>
      <c r="P86" s="241">
        <v>16126.008280620001</v>
      </c>
      <c r="Q86" s="239"/>
      <c r="R86" s="157"/>
      <c r="S86" s="253" t="s">
        <v>447</v>
      </c>
      <c r="T86" s="258">
        <v>0</v>
      </c>
      <c r="U86" s="258">
        <v>0</v>
      </c>
      <c r="V86" s="258">
        <v>0</v>
      </c>
      <c r="W86" s="258">
        <v>1797298</v>
      </c>
      <c r="X86" s="258">
        <v>0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551</v>
      </c>
      <c r="H87" s="223">
        <v>17327.013298670001</v>
      </c>
      <c r="I87" s="164"/>
      <c r="J87" s="157"/>
      <c r="K87" s="228"/>
      <c r="L87" s="228"/>
      <c r="M87" s="228"/>
      <c r="O87" s="241" t="s">
        <v>551</v>
      </c>
      <c r="P87" s="241">
        <v>16886.075075199999</v>
      </c>
      <c r="Q87" s="239"/>
      <c r="R87" s="157"/>
      <c r="S87" s="253" t="s">
        <v>570</v>
      </c>
      <c r="T87" s="258">
        <v>0</v>
      </c>
      <c r="U87" s="258">
        <v>0</v>
      </c>
      <c r="V87" s="258">
        <v>0</v>
      </c>
      <c r="W87" s="258">
        <v>0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568</v>
      </c>
      <c r="BQ87" s="245"/>
      <c r="BR87" s="245"/>
    </row>
    <row r="88" spans="1:70" x14ac:dyDescent="0.2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6331.9287732900002</v>
      </c>
      <c r="I88" s="164"/>
      <c r="J88" s="157"/>
      <c r="K88" s="228"/>
      <c r="L88" s="228"/>
      <c r="M88" s="228"/>
      <c r="O88" s="241" t="s">
        <v>314</v>
      </c>
      <c r="P88" s="241">
        <v>6514.8760947000001</v>
      </c>
      <c r="Q88" s="239"/>
      <c r="R88" s="157"/>
      <c r="S88" s="247" t="s">
        <v>451</v>
      </c>
      <c r="T88" s="247">
        <v>35682378.079999998</v>
      </c>
      <c r="U88" s="247">
        <v>1122</v>
      </c>
      <c r="V88" s="247">
        <v>6</v>
      </c>
      <c r="W88" s="247">
        <v>415534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116392</v>
      </c>
      <c r="BQ88" s="245"/>
      <c r="BR88" s="245"/>
    </row>
    <row r="89" spans="1:70" x14ac:dyDescent="0.2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14926.42682551</v>
      </c>
      <c r="I89" s="164"/>
      <c r="J89" s="157"/>
      <c r="K89" s="228"/>
      <c r="L89" s="228"/>
      <c r="M89" s="228"/>
      <c r="O89" s="241" t="s">
        <v>315</v>
      </c>
      <c r="P89" s="241">
        <v>13855.48771999</v>
      </c>
      <c r="Q89" s="239"/>
      <c r="S89" s="245" t="s">
        <v>448</v>
      </c>
      <c r="T89" s="245">
        <v>1764406</v>
      </c>
      <c r="U89" s="245">
        <v>27766</v>
      </c>
      <c r="V89" s="245">
        <v>314</v>
      </c>
      <c r="W89" s="245">
        <v>545329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5738.8889955699997</v>
      </c>
      <c r="I90" s="164"/>
      <c r="J90" s="157"/>
      <c r="K90" s="228"/>
      <c r="L90" s="228"/>
      <c r="M90" s="228"/>
      <c r="O90" s="241" t="s">
        <v>316</v>
      </c>
      <c r="P90" s="241">
        <v>5422.6067005100003</v>
      </c>
      <c r="Q90" s="239"/>
      <c r="S90" s="245" t="s">
        <v>182</v>
      </c>
      <c r="T90" s="245">
        <v>11819800.625</v>
      </c>
      <c r="U90" s="245">
        <v>152307</v>
      </c>
      <c r="V90" s="245">
        <v>63</v>
      </c>
      <c r="W90" s="245">
        <v>1130173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9633.3432832899998</v>
      </c>
      <c r="I91" s="164"/>
      <c r="J91" s="157"/>
      <c r="K91" s="228"/>
      <c r="L91" s="228"/>
      <c r="M91" s="228"/>
      <c r="O91" s="241" t="s">
        <v>72</v>
      </c>
      <c r="P91" s="241">
        <v>10662.250451899999</v>
      </c>
      <c r="Q91" s="239"/>
      <c r="S91" s="245" t="s">
        <v>446</v>
      </c>
      <c r="T91" s="245">
        <v>13805287899.689899</v>
      </c>
      <c r="U91" s="245">
        <v>39436</v>
      </c>
      <c r="V91" s="245">
        <v>12065</v>
      </c>
      <c r="W91" s="245">
        <v>560071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62287</v>
      </c>
      <c r="BQ91" s="245"/>
      <c r="BR91" s="245"/>
    </row>
    <row r="92" spans="1:70" x14ac:dyDescent="0.2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29695.97384223</v>
      </c>
      <c r="I92" s="164"/>
      <c r="J92" s="157"/>
      <c r="K92" s="228"/>
      <c r="L92" s="228"/>
      <c r="M92" s="228"/>
      <c r="O92" s="241" t="s">
        <v>74</v>
      </c>
      <c r="P92" s="241">
        <v>28774.054316950002</v>
      </c>
      <c r="Q92" s="239"/>
      <c r="S92" s="245" t="s">
        <v>449</v>
      </c>
      <c r="T92" s="245">
        <v>1025100.433</v>
      </c>
      <c r="U92" s="245">
        <v>561</v>
      </c>
      <c r="V92" s="245">
        <v>5</v>
      </c>
      <c r="W92" s="245">
        <v>8116040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46008.093781039999</v>
      </c>
      <c r="I93" s="164"/>
      <c r="J93" s="157"/>
      <c r="K93" s="228"/>
      <c r="L93" s="228"/>
      <c r="M93" s="228"/>
      <c r="O93" s="241" t="s">
        <v>76</v>
      </c>
      <c r="P93" s="241">
        <v>44452.178429790001</v>
      </c>
      <c r="Q93" s="239"/>
      <c r="S93" s="245" t="s">
        <v>450</v>
      </c>
      <c r="T93" s="245">
        <v>0</v>
      </c>
      <c r="U93" s="245">
        <v>498</v>
      </c>
      <c r="V93" s="245">
        <v>6</v>
      </c>
      <c r="W93" s="245">
        <v>7988422</v>
      </c>
      <c r="X93" s="245">
        <v>1</v>
      </c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49388.410494639997</v>
      </c>
      <c r="I94" s="164"/>
      <c r="J94" s="157"/>
      <c r="K94" s="228"/>
      <c r="L94" s="228"/>
      <c r="M94" s="228"/>
      <c r="O94" s="241" t="s">
        <v>78</v>
      </c>
      <c r="P94" s="241">
        <v>50547.255962039999</v>
      </c>
      <c r="Q94" s="239"/>
      <c r="S94" s="245" t="s">
        <v>447</v>
      </c>
      <c r="T94" s="245">
        <v>179192989.5</v>
      </c>
      <c r="U94" s="245">
        <v>28709</v>
      </c>
      <c r="V94" s="245">
        <v>327</v>
      </c>
      <c r="W94" s="245">
        <v>858189</v>
      </c>
      <c r="X94" s="245">
        <v>1</v>
      </c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11075.55921748</v>
      </c>
      <c r="I95" s="164"/>
      <c r="J95" s="157"/>
      <c r="K95" s="228"/>
      <c r="L95" s="228"/>
      <c r="M95" s="228"/>
      <c r="O95" s="241" t="s">
        <v>317</v>
      </c>
      <c r="P95" s="241">
        <v>11354.85561588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6772.3075791700003</v>
      </c>
      <c r="I96" s="164"/>
      <c r="J96" s="157"/>
      <c r="K96" s="228"/>
      <c r="L96" s="228"/>
      <c r="M96" s="228"/>
      <c r="O96" s="241" t="s">
        <v>318</v>
      </c>
      <c r="P96" s="241">
        <v>7178.8286962399998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4934.9872383399997</v>
      </c>
      <c r="I97" s="164"/>
      <c r="K97" s="228"/>
      <c r="L97" s="228"/>
      <c r="M97" s="228"/>
      <c r="O97" s="241" t="s">
        <v>88</v>
      </c>
      <c r="P97" s="241">
        <v>4885.3735817699999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22381.71801963</v>
      </c>
      <c r="I98" s="164"/>
      <c r="K98" s="228"/>
      <c r="L98" s="228"/>
      <c r="M98" s="228"/>
      <c r="O98" s="241" t="s">
        <v>80</v>
      </c>
      <c r="P98" s="241">
        <v>21916.67010313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660.89152824999996</v>
      </c>
      <c r="I99" s="164"/>
      <c r="K99" s="228"/>
      <c r="L99" s="228"/>
      <c r="M99" s="228"/>
      <c r="O99" s="241" t="s">
        <v>319</v>
      </c>
      <c r="P99" s="241">
        <v>628.77524356000004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5051.9478890299997</v>
      </c>
      <c r="I100" s="164"/>
      <c r="K100" s="228"/>
      <c r="L100" s="228"/>
      <c r="M100" s="228"/>
      <c r="O100" s="241" t="s">
        <v>86</v>
      </c>
      <c r="P100" s="241">
        <v>5254.9380512400003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4306.8281081100004</v>
      </c>
      <c r="I101" s="164"/>
      <c r="K101" s="228"/>
      <c r="L101" s="228"/>
      <c r="M101" s="228"/>
      <c r="O101" s="241" t="s">
        <v>320</v>
      </c>
      <c r="P101" s="241">
        <v>4618.5628977400002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43758.976610550002</v>
      </c>
      <c r="I102" s="164"/>
      <c r="K102" s="228"/>
      <c r="L102" s="228"/>
      <c r="M102" s="228"/>
      <c r="O102" s="241" t="s">
        <v>82</v>
      </c>
      <c r="P102" s="241">
        <v>41299.72041088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28764.724599050001</v>
      </c>
      <c r="I103" s="164"/>
      <c r="K103" s="228"/>
      <c r="L103" s="228"/>
      <c r="M103" s="228"/>
      <c r="O103" s="241" t="s">
        <v>84</v>
      </c>
      <c r="P103" s="241">
        <v>29385.08235515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7590.4702690599997</v>
      </c>
      <c r="I104" s="164"/>
      <c r="K104" s="228"/>
      <c r="L104" s="228"/>
      <c r="M104" s="228"/>
      <c r="O104" s="241" t="s">
        <v>321</v>
      </c>
      <c r="P104" s="241">
        <v>7694.8160721100003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2154.4408835600002</v>
      </c>
      <c r="I105" s="164"/>
      <c r="K105" s="228"/>
      <c r="L105" s="228"/>
      <c r="M105" s="228"/>
      <c r="O105" s="241" t="s">
        <v>322</v>
      </c>
      <c r="P105" s="241">
        <v>2031.5042240800001</v>
      </c>
    </row>
    <row r="106" spans="1:16" x14ac:dyDescent="0.2">
      <c r="B106" s="190" t="s">
        <v>285</v>
      </c>
      <c r="C106" s="193">
        <v>43348</v>
      </c>
      <c r="D106" s="190">
        <v>421.77493391000002</v>
      </c>
      <c r="E106" s="223">
        <v>1</v>
      </c>
      <c r="F106" s="213"/>
      <c r="G106" s="223" t="s">
        <v>323</v>
      </c>
      <c r="H106" s="223">
        <v>160.89933973000001</v>
      </c>
      <c r="I106" s="164"/>
      <c r="K106" s="228"/>
      <c r="L106" s="228"/>
      <c r="M106" s="228"/>
      <c r="O106" s="241" t="s">
        <v>323</v>
      </c>
      <c r="P106" s="241">
        <v>168.67154019</v>
      </c>
    </row>
    <row r="107" spans="1:16" x14ac:dyDescent="0.2">
      <c r="B107" s="190" t="s">
        <v>286</v>
      </c>
      <c r="C107" s="193">
        <v>43348</v>
      </c>
      <c r="D107" s="190">
        <v>302.76282674999999</v>
      </c>
      <c r="E107" s="223">
        <v>1</v>
      </c>
      <c r="F107" s="213"/>
      <c r="G107" s="223" t="s">
        <v>552</v>
      </c>
      <c r="H107" s="223">
        <v>13910.50447224</v>
      </c>
      <c r="I107" s="164"/>
      <c r="K107" s="228"/>
      <c r="L107" s="228"/>
      <c r="M107" s="228"/>
      <c r="O107" s="241" t="s">
        <v>552</v>
      </c>
      <c r="P107" s="241">
        <v>12824.283744980001</v>
      </c>
    </row>
    <row r="108" spans="1:16" x14ac:dyDescent="0.2">
      <c r="B108" s="190" t="s">
        <v>287</v>
      </c>
      <c r="C108" s="193">
        <v>43348</v>
      </c>
      <c r="D108" s="190">
        <v>234.75259614999999</v>
      </c>
      <c r="E108" s="223">
        <v>1</v>
      </c>
      <c r="F108" s="209"/>
      <c r="G108" s="223" t="s">
        <v>553</v>
      </c>
      <c r="H108" s="223">
        <v>13348.992146050001</v>
      </c>
      <c r="I108" s="164"/>
      <c r="K108" s="228"/>
      <c r="L108" s="228"/>
      <c r="M108" s="228"/>
      <c r="O108" s="241" t="s">
        <v>553</v>
      </c>
      <c r="P108" s="241">
        <v>12317.316108569999</v>
      </c>
    </row>
    <row r="109" spans="1:16" x14ac:dyDescent="0.2">
      <c r="B109" s="190" t="s">
        <v>288</v>
      </c>
      <c r="C109" s="193">
        <v>43348</v>
      </c>
      <c r="D109" s="190">
        <v>553.52868425999998</v>
      </c>
      <c r="E109" s="223">
        <v>1</v>
      </c>
      <c r="F109" s="209"/>
      <c r="G109" s="223" t="s">
        <v>554</v>
      </c>
      <c r="H109" s="223">
        <v>10599.52566318</v>
      </c>
      <c r="I109" s="164"/>
      <c r="K109" s="228"/>
      <c r="L109" s="228"/>
      <c r="M109" s="228"/>
      <c r="O109" s="241" t="s">
        <v>554</v>
      </c>
      <c r="P109" s="241">
        <v>9703.2067055099997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9861.2391781999995</v>
      </c>
      <c r="I110" s="164"/>
      <c r="K110" s="228"/>
      <c r="L110" s="228"/>
      <c r="M110" s="228"/>
      <c r="O110" s="241" t="s">
        <v>324</v>
      </c>
      <c r="P110" s="241">
        <v>9161.7252661999992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80368.181419440007</v>
      </c>
      <c r="I111" s="164"/>
      <c r="K111" s="228"/>
      <c r="L111" s="228"/>
      <c r="M111" s="228"/>
      <c r="O111" s="241" t="s">
        <v>325</v>
      </c>
      <c r="P111" s="241">
        <v>78354.08702223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44767.9259714</v>
      </c>
      <c r="I112" s="164"/>
      <c r="K112" s="228"/>
      <c r="L112" s="228"/>
      <c r="M112" s="228"/>
      <c r="O112" s="241" t="s">
        <v>326</v>
      </c>
      <c r="P112" s="241">
        <v>43283.598206160001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1157.4733325699999</v>
      </c>
      <c r="I113" s="164"/>
      <c r="K113" s="228"/>
      <c r="L113" s="228"/>
      <c r="M113" s="228"/>
      <c r="O113" s="241" t="s">
        <v>327</v>
      </c>
      <c r="P113" s="241">
        <v>1081.3535039799999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712.61277385000005</v>
      </c>
      <c r="I114" s="164"/>
      <c r="K114" s="228"/>
      <c r="L114" s="228"/>
      <c r="M114" s="228"/>
      <c r="O114" s="241" t="s">
        <v>190</v>
      </c>
      <c r="P114" s="241">
        <v>656.47071138000001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3309.0213152000001</v>
      </c>
      <c r="I115" s="164"/>
      <c r="K115" s="228"/>
      <c r="L115" s="228"/>
      <c r="M115" s="228"/>
      <c r="O115" s="241" t="s">
        <v>329</v>
      </c>
      <c r="P115" s="241">
        <v>3225.3572533800002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3551.5074281299999</v>
      </c>
      <c r="I116" s="164"/>
      <c r="K116" s="228"/>
      <c r="L116" s="228"/>
      <c r="M116" s="228"/>
      <c r="O116" s="241" t="s">
        <v>330</v>
      </c>
      <c r="P116" s="241">
        <v>3834.72018944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616.66354867999996</v>
      </c>
      <c r="I117" s="164"/>
      <c r="K117" s="228"/>
      <c r="L117" s="228"/>
      <c r="M117" s="228"/>
      <c r="O117" s="241" t="s">
        <v>331</v>
      </c>
      <c r="P117" s="241">
        <v>629.96289434000005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67.289430060000001</v>
      </c>
      <c r="I118" s="164"/>
      <c r="K118" s="228"/>
      <c r="L118" s="228"/>
      <c r="M118" s="228"/>
      <c r="O118" s="241" t="s">
        <v>333</v>
      </c>
      <c r="P118" s="241">
        <v>63.169344889999998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115.68212172</v>
      </c>
      <c r="I119" s="164"/>
      <c r="K119" s="228"/>
      <c r="L119" s="228"/>
      <c r="M119" s="228"/>
      <c r="O119" s="241" t="s">
        <v>334</v>
      </c>
      <c r="P119" s="241">
        <v>117.72391918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48.593070849999997</v>
      </c>
      <c r="I120" s="164"/>
      <c r="K120" s="228"/>
      <c r="L120" s="228"/>
      <c r="M120" s="228"/>
      <c r="O120" s="241" t="s">
        <v>335</v>
      </c>
      <c r="P120" s="241">
        <v>46.97822781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80.059602870000006</v>
      </c>
      <c r="I121" s="164"/>
      <c r="K121" s="228"/>
      <c r="L121" s="228"/>
      <c r="M121" s="228"/>
      <c r="O121" s="241" t="s">
        <v>336</v>
      </c>
      <c r="P121" s="241">
        <v>83.902453190000003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47955.984405989999</v>
      </c>
      <c r="I122" s="164"/>
      <c r="K122" s="228"/>
      <c r="L122" s="228"/>
      <c r="M122" s="228"/>
      <c r="O122" s="241" t="s">
        <v>337</v>
      </c>
      <c r="P122" s="241">
        <v>46726.588596660004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3884.6790724000002</v>
      </c>
      <c r="I123" s="164"/>
      <c r="K123" s="228"/>
      <c r="L123" s="228"/>
      <c r="M123" s="228"/>
      <c r="O123" s="241" t="s">
        <v>338</v>
      </c>
      <c r="P123" s="241">
        <v>3491.7043793500002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54156.749000260003</v>
      </c>
      <c r="I124" s="164"/>
      <c r="K124" s="228"/>
      <c r="L124" s="228"/>
      <c r="M124" s="228"/>
      <c r="O124" s="241" t="s">
        <v>339</v>
      </c>
      <c r="P124" s="241">
        <v>52736.855850899999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11722.37298301</v>
      </c>
      <c r="I125" s="164"/>
      <c r="K125" s="228"/>
      <c r="L125" s="228"/>
      <c r="M125" s="228"/>
      <c r="O125" s="241" t="s">
        <v>340</v>
      </c>
      <c r="P125" s="241">
        <v>11386.345563319999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838.42651507999994</v>
      </c>
      <c r="I126" s="164"/>
      <c r="K126" s="228"/>
      <c r="L126" s="228"/>
      <c r="M126" s="228"/>
      <c r="O126" s="241" t="s">
        <v>341</v>
      </c>
      <c r="P126" s="241">
        <v>831.63113667000005</v>
      </c>
    </row>
    <row r="127" spans="2:16" x14ac:dyDescent="0.2">
      <c r="B127" s="190" t="s">
        <v>303</v>
      </c>
      <c r="C127" s="193">
        <v>43488</v>
      </c>
      <c r="D127" s="190">
        <v>13853.122499999999</v>
      </c>
      <c r="E127" s="223">
        <v>1</v>
      </c>
      <c r="F127" s="209"/>
      <c r="G127" s="223" t="s">
        <v>343</v>
      </c>
      <c r="H127" s="223">
        <v>3028.19599057</v>
      </c>
      <c r="I127" s="164"/>
      <c r="K127" s="228"/>
      <c r="L127" s="228"/>
      <c r="M127" s="228"/>
      <c r="O127" s="241" t="s">
        <v>343</v>
      </c>
      <c r="P127" s="241">
        <v>2996.7013665700001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10513.00423239</v>
      </c>
      <c r="I128" s="164"/>
      <c r="K128" s="228"/>
      <c r="L128" s="228"/>
      <c r="M128" s="228"/>
      <c r="O128" s="241" t="s">
        <v>344</v>
      </c>
      <c r="P128" s="241">
        <v>10219.028980569999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21663.11</v>
      </c>
      <c r="I129" s="164"/>
      <c r="K129" s="228"/>
      <c r="L129" s="228"/>
      <c r="M129" s="228"/>
      <c r="O129" s="241" t="s">
        <v>345</v>
      </c>
      <c r="P129" s="241">
        <v>23976.880000000001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7762.96</v>
      </c>
      <c r="I130" s="164"/>
      <c r="K130" s="228"/>
      <c r="L130" s="228"/>
      <c r="M130" s="228"/>
      <c r="O130" s="241" t="s">
        <v>346</v>
      </c>
      <c r="P130" s="241">
        <v>8183.41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14620.71</v>
      </c>
      <c r="I131" s="164"/>
      <c r="K131" s="228"/>
      <c r="L131" s="228"/>
      <c r="M131" s="228"/>
      <c r="O131" s="241" t="s">
        <v>347</v>
      </c>
      <c r="P131" s="241">
        <v>14367.44</v>
      </c>
    </row>
    <row r="132" spans="2:16" x14ac:dyDescent="0.2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4785.45</v>
      </c>
      <c r="I132" s="164"/>
      <c r="K132" s="228"/>
      <c r="L132" s="228"/>
      <c r="M132" s="228"/>
      <c r="O132" s="241" t="s">
        <v>348</v>
      </c>
      <c r="P132" s="241">
        <v>4049.25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5318.43</v>
      </c>
      <c r="I133" s="164"/>
      <c r="K133" s="228"/>
      <c r="L133" s="228"/>
      <c r="M133" s="228"/>
      <c r="O133" s="241" t="s">
        <v>349</v>
      </c>
      <c r="P133" s="241">
        <v>4992.66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2608.9699999999998</v>
      </c>
      <c r="I134" s="164"/>
      <c r="K134" s="228"/>
      <c r="L134" s="228"/>
      <c r="M134" s="228"/>
      <c r="O134" s="241" t="s">
        <v>350</v>
      </c>
      <c r="P134" s="241">
        <v>2595.0500000000002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21244.91</v>
      </c>
      <c r="I135" s="164"/>
      <c r="K135" s="228"/>
      <c r="L135" s="228"/>
      <c r="M135" s="228"/>
      <c r="O135" s="241" t="s">
        <v>351</v>
      </c>
      <c r="P135" s="241">
        <v>20412.71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2573.17</v>
      </c>
      <c r="I136" s="164"/>
      <c r="K136" s="228"/>
      <c r="L136" s="228"/>
      <c r="M136" s="228"/>
      <c r="O136" s="241" t="s">
        <v>352</v>
      </c>
      <c r="P136" s="241">
        <v>2584.85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6096.15</v>
      </c>
      <c r="I137" s="164"/>
      <c r="K137" s="228"/>
      <c r="L137" s="228"/>
      <c r="M137" s="228"/>
      <c r="O137" s="241" t="s">
        <v>353</v>
      </c>
      <c r="P137" s="241">
        <v>6045.77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5134</v>
      </c>
      <c r="I138" s="164"/>
      <c r="K138" s="228"/>
      <c r="L138" s="228"/>
      <c r="M138" s="228"/>
      <c r="O138" s="241" t="s">
        <v>354</v>
      </c>
      <c r="P138" s="241">
        <v>4986.91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4593.79</v>
      </c>
      <c r="I139" s="164"/>
      <c r="K139" s="228"/>
      <c r="L139" s="228"/>
      <c r="M139" s="228"/>
      <c r="O139" s="241" t="s">
        <v>355</v>
      </c>
      <c r="P139" s="241">
        <v>4464.01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356</v>
      </c>
      <c r="H140" s="223">
        <v>7503.46</v>
      </c>
      <c r="I140" s="164"/>
      <c r="K140" s="228"/>
      <c r="L140" s="228"/>
      <c r="M140" s="228"/>
      <c r="O140" s="241" t="s">
        <v>356</v>
      </c>
      <c r="P140" s="241">
        <v>7841.24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17490.689999999999</v>
      </c>
      <c r="I141" s="164"/>
      <c r="K141" s="228"/>
      <c r="L141" s="228"/>
      <c r="M141" s="228"/>
      <c r="O141" s="241" t="s">
        <v>357</v>
      </c>
      <c r="P141" s="241">
        <v>16451.09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10934.23</v>
      </c>
      <c r="I142" s="164"/>
      <c r="K142" s="228"/>
      <c r="L142" s="228"/>
      <c r="M142" s="228"/>
      <c r="O142" s="241" t="s">
        <v>358</v>
      </c>
      <c r="P142" s="241">
        <v>11211.83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440.21</v>
      </c>
      <c r="I143" s="164"/>
      <c r="K143" s="228"/>
      <c r="L143" s="228"/>
      <c r="M143" s="228"/>
      <c r="O143" s="241" t="s">
        <v>359</v>
      </c>
      <c r="P143" s="241">
        <v>456.12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35046.699999999997</v>
      </c>
      <c r="I144" s="164"/>
      <c r="K144" s="228"/>
      <c r="L144" s="228"/>
      <c r="M144" s="228"/>
      <c r="O144" s="241" t="s">
        <v>360</v>
      </c>
      <c r="P144" s="241">
        <v>36142.75</v>
      </c>
    </row>
    <row r="145" spans="2:16" x14ac:dyDescent="0.2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5845.33</v>
      </c>
      <c r="I145" s="164"/>
      <c r="K145" s="228"/>
      <c r="L145" s="228"/>
      <c r="M145" s="228"/>
      <c r="O145" s="241" t="s">
        <v>361</v>
      </c>
      <c r="P145" s="241">
        <v>5888.11</v>
      </c>
    </row>
    <row r="146" spans="2:16" x14ac:dyDescent="0.2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13438.19</v>
      </c>
      <c r="I146" s="164"/>
      <c r="K146" s="228"/>
      <c r="L146" s="228"/>
      <c r="M146" s="228"/>
      <c r="O146" s="241" t="s">
        <v>362</v>
      </c>
      <c r="P146" s="241">
        <v>13826.46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12836.35</v>
      </c>
      <c r="I147" s="164"/>
      <c r="K147" s="228"/>
      <c r="L147" s="228"/>
      <c r="M147" s="228"/>
      <c r="O147" s="241" t="s">
        <v>363</v>
      </c>
      <c r="P147" s="241">
        <v>11915.37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28801.39</v>
      </c>
      <c r="I148" s="164"/>
      <c r="K148" s="228"/>
      <c r="L148" s="228"/>
      <c r="M148" s="228"/>
      <c r="O148" s="241" t="s">
        <v>364</v>
      </c>
      <c r="P148" s="241">
        <v>29527.63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11577.94</v>
      </c>
      <c r="I149" s="164"/>
      <c r="K149" s="228"/>
      <c r="L149" s="228"/>
      <c r="M149" s="228"/>
      <c r="O149" s="241" t="s">
        <v>365</v>
      </c>
      <c r="P149" s="241">
        <v>12272.93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90946.75</v>
      </c>
      <c r="I150" s="164"/>
      <c r="K150" s="228"/>
      <c r="L150" s="228"/>
      <c r="M150" s="228"/>
      <c r="O150" s="241" t="s">
        <v>366</v>
      </c>
      <c r="P150" s="241">
        <v>86527.15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5748.93</v>
      </c>
      <c r="I151" s="164"/>
      <c r="K151" s="228"/>
      <c r="L151" s="228"/>
      <c r="M151" s="228"/>
      <c r="O151" s="241" t="s">
        <v>367</v>
      </c>
      <c r="P151" s="241">
        <v>6165.05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6308.67</v>
      </c>
      <c r="I152" s="164"/>
      <c r="K152" s="228"/>
      <c r="L152" s="228"/>
      <c r="M152" s="228"/>
      <c r="O152" s="241" t="s">
        <v>368</v>
      </c>
      <c r="P152" s="241">
        <v>5948.68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6217.35</v>
      </c>
      <c r="I153" s="164"/>
      <c r="K153" s="228"/>
      <c r="L153" s="228"/>
      <c r="M153" s="228"/>
      <c r="O153" s="241" t="s">
        <v>369</v>
      </c>
      <c r="P153" s="241">
        <v>6517.68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13327.43</v>
      </c>
      <c r="I154" s="164"/>
      <c r="K154" s="228"/>
      <c r="L154" s="228"/>
      <c r="M154" s="228"/>
      <c r="O154" s="241" t="s">
        <v>370</v>
      </c>
      <c r="P154" s="241">
        <v>12382.04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18988.93</v>
      </c>
      <c r="I155" s="164"/>
      <c r="K155" s="228"/>
      <c r="L155" s="228"/>
      <c r="M155" s="228"/>
      <c r="O155" s="241" t="s">
        <v>371</v>
      </c>
      <c r="P155" s="241">
        <v>18513.05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13961.52</v>
      </c>
      <c r="I156" s="164"/>
      <c r="K156" s="228"/>
      <c r="L156" s="228"/>
      <c r="M156" s="228"/>
      <c r="O156" s="241" t="s">
        <v>372</v>
      </c>
      <c r="P156" s="241">
        <v>13504.54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8686.56</v>
      </c>
      <c r="I157" s="164"/>
      <c r="K157" s="228"/>
      <c r="L157" s="228"/>
      <c r="M157" s="228"/>
      <c r="O157" s="241" t="s">
        <v>373</v>
      </c>
      <c r="P157" s="241">
        <v>8115.3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5737.54</v>
      </c>
      <c r="I158" s="164"/>
      <c r="K158" s="228"/>
      <c r="L158" s="228"/>
      <c r="M158" s="228"/>
      <c r="O158" s="241" t="s">
        <v>374</v>
      </c>
      <c r="P158" s="241">
        <v>5269.39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7294.15</v>
      </c>
      <c r="I159" s="164"/>
      <c r="K159" s="228"/>
      <c r="L159" s="228"/>
      <c r="M159" s="228"/>
      <c r="O159" s="241" t="s">
        <v>375</v>
      </c>
      <c r="P159" s="241">
        <v>7157.57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8060.72</v>
      </c>
      <c r="I160" s="164"/>
      <c r="K160" s="228"/>
      <c r="L160" s="228"/>
      <c r="M160" s="228"/>
      <c r="O160" s="241" t="s">
        <v>376</v>
      </c>
      <c r="P160" s="241">
        <v>8703.52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11363.69</v>
      </c>
      <c r="I161" s="164"/>
      <c r="K161" s="228"/>
      <c r="L161" s="228"/>
      <c r="M161" s="228"/>
      <c r="O161" s="241" t="s">
        <v>377</v>
      </c>
      <c r="P161" s="241">
        <v>11608.76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21663.11</v>
      </c>
      <c r="I162" s="164"/>
      <c r="K162" s="228"/>
      <c r="L162" s="228"/>
      <c r="M162" s="228"/>
      <c r="O162" s="241" t="s">
        <v>379</v>
      </c>
      <c r="P162" s="241">
        <v>23976.880000000001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5677.39</v>
      </c>
      <c r="I163" s="164"/>
      <c r="K163" s="228"/>
      <c r="L163" s="228"/>
      <c r="M163" s="228"/>
      <c r="O163" s="241" t="s">
        <v>380</v>
      </c>
      <c r="P163" s="241">
        <v>5520.62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10277.5</v>
      </c>
      <c r="I164" s="164"/>
      <c r="K164" s="228"/>
      <c r="L164" s="228"/>
      <c r="M164" s="228"/>
      <c r="O164" s="241" t="s">
        <v>381</v>
      </c>
      <c r="P164" s="241">
        <v>9930.25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11734.2</v>
      </c>
      <c r="I165" s="164"/>
      <c r="K165" s="228"/>
      <c r="L165" s="228"/>
      <c r="M165" s="228"/>
      <c r="O165" s="241" t="s">
        <v>382</v>
      </c>
      <c r="P165" s="241">
        <v>11904.68</v>
      </c>
    </row>
    <row r="166" spans="2:16" x14ac:dyDescent="0.2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13624.63</v>
      </c>
      <c r="I166" s="164"/>
      <c r="K166" s="228"/>
      <c r="L166" s="228"/>
      <c r="M166" s="228"/>
      <c r="O166" s="241" t="s">
        <v>383</v>
      </c>
      <c r="P166" s="241">
        <v>13487.66</v>
      </c>
    </row>
    <row r="167" spans="2:16" x14ac:dyDescent="0.2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37781.08</v>
      </c>
      <c r="I167" s="164"/>
      <c r="K167" s="228"/>
      <c r="L167" s="228"/>
      <c r="M167" s="228"/>
      <c r="O167" s="241" t="s">
        <v>384</v>
      </c>
      <c r="P167" s="241">
        <v>36996.019999999997</v>
      </c>
    </row>
    <row r="168" spans="2:16" x14ac:dyDescent="0.2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5810.94</v>
      </c>
      <c r="I168" s="164"/>
      <c r="K168" s="228"/>
      <c r="L168" s="228"/>
      <c r="M168" s="228"/>
      <c r="O168" s="241" t="s">
        <v>385</v>
      </c>
      <c r="P168" s="241">
        <v>6044.43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10555.61</v>
      </c>
      <c r="I169" s="164"/>
      <c r="K169" s="228"/>
      <c r="L169" s="228"/>
      <c r="M169" s="228"/>
      <c r="O169" s="241" t="s">
        <v>386</v>
      </c>
      <c r="P169" s="241">
        <v>9960.7900000000009</v>
      </c>
    </row>
    <row r="170" spans="2:16" x14ac:dyDescent="0.2">
      <c r="B170" s="190" t="s">
        <v>325</v>
      </c>
      <c r="C170" s="193">
        <v>43364</v>
      </c>
      <c r="D170" s="190">
        <v>87713.546681709995</v>
      </c>
      <c r="E170" s="223">
        <v>1</v>
      </c>
      <c r="F170" s="209"/>
      <c r="G170" s="223" t="s">
        <v>387</v>
      </c>
      <c r="H170" s="223">
        <v>10567.98</v>
      </c>
      <c r="I170" s="164"/>
      <c r="K170" s="228"/>
      <c r="L170" s="228"/>
      <c r="M170" s="228"/>
      <c r="O170" s="241" t="s">
        <v>387</v>
      </c>
      <c r="P170" s="241">
        <v>10795.89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4105.5600000000004</v>
      </c>
      <c r="I171" s="164"/>
      <c r="K171" s="228"/>
      <c r="L171" s="228"/>
      <c r="M171" s="228"/>
      <c r="O171" s="241" t="s">
        <v>388</v>
      </c>
      <c r="P171" s="241">
        <v>4030.93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17633.810000000001</v>
      </c>
      <c r="I172" s="164"/>
      <c r="K172" s="228"/>
      <c r="L172" s="228"/>
      <c r="M172" s="228"/>
      <c r="O172" s="241" t="s">
        <v>389</v>
      </c>
      <c r="P172" s="241">
        <v>17382.41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14536.17</v>
      </c>
      <c r="I173" s="164"/>
      <c r="K173" s="228"/>
      <c r="L173" s="228"/>
      <c r="M173" s="228"/>
      <c r="O173" s="241" t="s">
        <v>390</v>
      </c>
      <c r="P173" s="241">
        <v>13617.97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16815.560000000001</v>
      </c>
      <c r="I174" s="164"/>
      <c r="K174" s="228"/>
      <c r="L174" s="228"/>
      <c r="M174" s="228"/>
      <c r="O174" s="241" t="s">
        <v>391</v>
      </c>
      <c r="P174" s="241">
        <v>16220.95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4492.88</v>
      </c>
      <c r="I175" s="164"/>
      <c r="K175" s="228"/>
      <c r="L175" s="228"/>
      <c r="M175" s="228"/>
      <c r="O175" s="241" t="s">
        <v>392</v>
      </c>
      <c r="P175" s="241">
        <v>4371.8500000000004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16052.36</v>
      </c>
      <c r="I176" s="164"/>
      <c r="K176" s="228"/>
      <c r="L176" s="228"/>
      <c r="M176" s="228"/>
      <c r="O176" s="241" t="s">
        <v>393</v>
      </c>
      <c r="P176" s="241">
        <v>15859.88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13800.16</v>
      </c>
      <c r="I177" s="164"/>
      <c r="K177" s="228"/>
      <c r="L177" s="228"/>
      <c r="M177" s="228"/>
      <c r="O177" s="241" t="s">
        <v>394</v>
      </c>
      <c r="P177" s="241">
        <v>13022.5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15382.5</v>
      </c>
      <c r="I178" s="164"/>
      <c r="K178" s="228"/>
      <c r="L178" s="228"/>
      <c r="M178" s="228"/>
      <c r="O178" s="241" t="s">
        <v>395</v>
      </c>
      <c r="P178" s="241">
        <v>14936.36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52079.514471219998</v>
      </c>
      <c r="I179" s="164"/>
      <c r="K179" s="228"/>
      <c r="L179" s="228"/>
      <c r="M179" s="228"/>
      <c r="O179" s="241" t="s">
        <v>396</v>
      </c>
      <c r="P179" s="241">
        <v>49398.003744289999</v>
      </c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43348</v>
      </c>
      <c r="D182" s="190">
        <v>98.026254199999997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43347</v>
      </c>
      <c r="D192" s="190">
        <v>11098.43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43348</v>
      </c>
      <c r="D193" s="190">
        <v>19072.88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43496</v>
      </c>
      <c r="D195" s="190">
        <v>5318.43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43364</v>
      </c>
      <c r="D217" s="190">
        <v>20724.45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43368</v>
      </c>
      <c r="D226" s="190">
        <v>6084.98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2019-02-26T07:00:00+00:00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0151C1-647B-40CC-A5A6-649C4A3E3E46}"/>
</file>

<file path=customXml/itemProps3.xml><?xml version="1.0" encoding="utf-8"?>
<ds:datastoreItem xmlns:ds="http://schemas.openxmlformats.org/officeDocument/2006/customXml" ds:itemID="{660C54F4-B7C9-4F19-972C-E732F0124192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a5d7cc70-31c1-4b2e-9a12-faea9898ee50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20190131</dc:title>
  <dc:creator>rapelangm</dc:creator>
  <cp:lastModifiedBy>Julia Maluleka</cp:lastModifiedBy>
  <cp:lastPrinted>2019-02-14T12:07:21Z</cp:lastPrinted>
  <dcterms:created xsi:type="dcterms:W3CDTF">2009-10-22T12:59:48Z</dcterms:created>
  <dcterms:modified xsi:type="dcterms:W3CDTF">2019-02-15T05:35:49Z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