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 iterateDelta="1" calcOnSave="0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9" i="1" s="1"/>
  <c r="C373" i="1"/>
  <c r="C372" i="1"/>
  <c r="G367" i="1"/>
  <c r="G366" i="1"/>
  <c r="G365" i="1"/>
  <c r="G364" i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G368" i="1" l="1"/>
  <c r="D68" i="1" l="1"/>
  <c r="C68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E201" i="1" l="1"/>
  <c r="E198" i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<sst xmlns="http://schemas.openxmlformats.org/spreadsheetml/2006/main" count="2508" uniqueCount="671">
  <si>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</si>
  <si>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</si>
  <si>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</si>
  <si>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</si>
  <si>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</si>
  <si>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</si>
  <si>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</si>
  <si>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</si>
  <si>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</si>
  <si>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</si>
  <si>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</si>
  <si>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</si>
  <si>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</si>
  <si>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</si>
  <si>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</si>
  <si>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</si>
  <si>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</si>
  <si>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</si>
  <si>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</si>
  <si>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</si>
  <si>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</si>
  <si>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</si>
  <si>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</si>
  <si>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</si>
  <si>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</si>
  <si>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</si>
  <si>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</si>
  <si>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</si>
  <si>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</si>
  <si>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</si>
  <si>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</si>
  <si>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</si>
  <si>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</si>
  <si>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</si>
  <si>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</si>
  <si>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</si>
  <si>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</si>
  <si>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</si>
  <si>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</si>
  <si>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</si>
  <si>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</si>
  <si>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</si>
  <si>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</si>
  <si>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</si>
  <si>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</si>
  <si>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</si>
  <si>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</si>
  <si>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</si>
  <si>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</si>
  <si>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</si>
  <si>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</si>
  <si>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</si>
  <si>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</si>
  <si>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</si>
  <si>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</si>
  <si>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</si>
  <si>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</si>
  <si>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</si>
  <si>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</si>
  <si>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</si>
  <si>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</si>
  <si>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</si>
  <si>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</si>
  <si>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</si>
  <si>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</si>
  <si>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</si>
  <si>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</si>
  <si>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</si>
  <si>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</si>
  <si>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</si>
  <si>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</si>
  <si>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</si>
  <si>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</si>
  <si>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</si>
  <si>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</si>
  <si>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</si>
  <si>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</si>
  <si>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</si>
  <si>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</si>
  <si>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</si>
  <si>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</si>
  <si>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</si>
  <si>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</si>
  <si>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</si>
  <si>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</si>
  <si>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</si>
  <si>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</si>
  <si>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</si>
  <si>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</si>
  <si>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</si>
  <si>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</si>
  <si>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</si>
  <si>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</si>
  <si>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</si>
  <si>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</si>
  <si>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</si>
  <si>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</si>
  <si>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</si>
  <si>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</si>
  <si>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</si>
  <si>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</si>
  <si>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</si>
  <si>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</si>
  <si>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</si>
  <si>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</si>
  <si>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</si>
  <si>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</si>
  <si>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</si>
  <si>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</si>
  <si>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</si>
  <si>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</si>
  <si>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</si>
  <si>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</si>
  <si>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</si>
  <si>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</si>
  <si>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</si>
  <si>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</si>
  <si>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</si>
  <si>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</si>
  <si>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</si>
  <si>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</si>
  <si>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</si>
  <si>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</si>
  <si>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</si>
  <si>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</si>
  <si>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</si>
  <si>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</si>
  <si>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</si>
  <si>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</si>
  <si>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</si>
  <si>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</si>
  <si>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</si>
  <si>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</si>
  <si>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</si>
  <si>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</si>
  <si>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</si>
  <si>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</si>
  <si>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</si>
  <si>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</si>
  <si>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</si>
  <si>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</si>
  <si>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</si>
  <si>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</si>
  <si>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</si>
  <si>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</si>
  <si>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</si>
  <si>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</si>
  <si>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</si>
  <si>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</si>
  <si>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</si>
  <si>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</si>
  <si>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</si>
  <si>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</si>
  <si>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</si>
  <si>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</si>
  <si>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</si>
  <si>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</si>
  <si>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</si>
  <si>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</si>
  <si>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</si>
  <si>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</si>
  <si>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</si>
  <si>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</si>
  <si>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</si>
  <si>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</si>
  <si>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</si>
  <si>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</si>
  <si>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</si>
  <si>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</si>
  <si>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</si>
  <si>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</si>
  <si>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</si>
  <si>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</si>
  <si>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</si>
  <si>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</si>
  <si>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</si>
  <si>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</si>
  <si>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</si>
  <si>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</si>
  <si>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</si>
  <si>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</si>
  <si>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</si>
  <si>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</si>
  <si>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</si>
  <si>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</si>
  <si>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</si>
  <si>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</si>
  <si>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</si>
  <si>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</si>
  <si>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</si>
  <si>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</si>
  <si>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</si>
  <si>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</si>
  <si>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</si>
  <si>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</si>
  <si>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</si>
  <si>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</si>
  <si>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</si>
  <si>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</si>
  <si>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</si>
  <si>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</si>
  <si>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</si>
  <si>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</si>
  <si>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</si>
  <si>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</si>
  <si>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</si>
  <si>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</si>
  <si>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</si>
  <si>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</si>
  <si>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</si>
  <si>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</si>
  <si>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</si>
  <si>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</si>
  <si>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</si>
  <si>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</si>
  <si>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</si>
  <si>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</si>
  <si>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</si>
  <si>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</si>
  <si>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</si>
  <si>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</si>
  <si>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</si>
  <si>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</si>
  <si>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</si>
  <si>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</si>
  <si>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</si>
  <si>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</si>
  <si>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</si>
  <si>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</si>
  <si>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</si>
  <si>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</si>
  <si>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</si>
  <si>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</si>
  <si>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</si>
  <si>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</si>
  <si>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</si>
  <si>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</si>
  <si>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</si>
  <si>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</si>
  <si>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</si>
  <si>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</si>
  <si>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</si>
  <si>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</si>
  <si>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</si>
  <si>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</si>
  <si>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</si>
  <si>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</si>
  <si>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</si>
  <si>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</si>
  <si>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</si>
  <si>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</si>
  <si>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</si>
  <si>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</si>
  <si>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</si>
  <si>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</si>
  <si>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</si>
  <si>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</si>
  <si>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</si>
  <si>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</si>
  <si>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</si>
  <si>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</si>
  <si>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</si>
  <si>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</si>
  <si>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</si>
  <si>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</si>
  <si>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</si>
  <si>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</si>
  <si>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</si>
  <si>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</si>
  <si>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</si>
  <si>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</si>
  <si>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</si>
  <si>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</si>
  <si>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</si>
  <si>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</si>
  <si>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</si>
  <si>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</si>
  <si>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</si>
  <si>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</si>
  <si>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</si>
  <si>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</si>
  <si>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</si>
  <si>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</si>
  <si>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</si>
  <si>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</si>
  <si>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</si>
  <si>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</si>
  <si>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</si>
  <si>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</si>
  <si>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</si>
  <si>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</si>
  <si>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</si>
  <si>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</si>
  <si>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</si>
  <si>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</si>
  <si>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</si>
  <si>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</si>
  <si>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</si>
  <si>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</si>
  <si>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</si>
  <si>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</si>
  <si>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</si>
  <si>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</si>
  <si>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</si>
  <si>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</si>
  <si>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</si>
  <si>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</si>
  <si>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</si>
  <si>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</si>
  <si>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</si>
  <si>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</si>
  <si>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</si>
  <si>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</si>
  <si>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</si>
  <si>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</si>
  <si>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</si>
  <si>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</si>
  <si>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</si>
  <si>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</si>
  <si>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</si>
  <si>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</si>
  <si>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</si>
  <si>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</si>
  <si>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</si>
  <si>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</si>
  <si>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</si>
  <si>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</si>
  <si>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</si>
  <si>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</si>
  <si>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</si>
  <si>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</si>
  <si>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</si>
  <si>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</si>
  <si>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</si>
  <si>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</si>
  <si>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</si>
  <si>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</si>
  <si>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</si>
  <si>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</si>
  <si>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</si>
  <si>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</si>
  <si>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</si>
  <si>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</si>
  <si>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</si>
  <si>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</si>
  <si>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</si>
  <si>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</si>
  <si>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</si>
  <si>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</si>
  <si>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</si>
  <si>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</si>
  <si>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</si>
  <si>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</si>
  <si>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</si>
  <si>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</si>
  <si>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</si>
  <si>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</si>
  <si>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</si>
  <si>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</si>
  <si>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</si>
  <si>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</si>
  <si>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</si>
  <si>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</si>
  <si>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</si>
  <si>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</si>
  <si>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</si>
  <si>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</si>
  <si>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</si>
  <si>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</si>
  <si>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</si>
  <si>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</si>
  <si>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</si>
  <si>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</si>
  <si>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</si>
  <si>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</si>
  <si>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</si>
  <si>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</si>
  <si>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</si>
  <si>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</si>
  <si>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</si>
  <si>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</si>
  <si>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</si>
  <si>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</si>
  <si>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</si>
  <si>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</si>
  <si>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</si>
  <si>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</si>
  <si>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</si>
  <si>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</si>
  <si>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</si>
  <si>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</si>
  <si>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</si>
  <si>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</si>
  <si>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</si>
  <si>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</si>
  <si>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</si>
  <si>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</si>
  <si>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</si>
  <si>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</si>
  <si>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</si>
  <si>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</si>
  <si>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</si>
  <si>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</si>
  <si>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</si>
  <si>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</si>
  <si>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</si>
  <si>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</si>
  <si>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</si>
  <si>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</si>
  <si>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</si>
  <si>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</si>
  <si>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</si>
  <si>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</si>
  <si>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</si>
  <si>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</si>
  <si>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</si>
  <si>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</si>
  <si>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</si>
  <si>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</si>
  <si>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</si>
  <si>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</si>
  <si>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</si>
  <si>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</si>
  <si>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</si>
  <si>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</si>
  <si>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</si>
  <si>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</si>
  <si>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</si>
  <si>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</si>
  <si>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</si>
  <si>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</si>
  <si>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</si>
  <si>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</si>
  <si>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</si>
  <si>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</si>
  <si>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</si>
  <si>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</si>
  <si>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</si>
  <si>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</si>
  <si>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</si>
  <si>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</si>
  <si>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</si>
  <si>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</si>
  <si>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</si>
  <si>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</si>
  <si>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</si>
  <si>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</si>
  <si>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</si>
  <si>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</si>
  <si>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</si>
  <si>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</si>
  <si>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</si>
  <si>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</si>
  <si>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</si>
  <si>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</si>
  <si>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</si>
  <si>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</si>
  <si>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</si>
  <si>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</si>
  <si>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</si>
  <si>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</si>
  <si>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</si>
  <si>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</si>
  <si>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</si>
  <si>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</si>
  <si>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</si>
  <si>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</si>
  <si>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</si>
  <si>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</si>
  <si>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</si>
  <si>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</si>
  <si>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</si>
  <si>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</si>
  <si>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</si>
  <si>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</si>
  <si>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</si>
  <si>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</si>
  <si>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</si>
  <si>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</si>
  <si>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</si>
  <si>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</si>
  <si>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</si>
  <si>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</si>
  <si>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</si>
  <si>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</si>
  <si>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</si>
  <si>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</si>
  <si>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</si>
  <si>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</si>
  <si>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</si>
  <si>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</si>
  <si>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</si>
  <si>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</si>
  <si>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</si>
  <si>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</si>
  <si>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</si>
  <si>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</si>
  <si>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</si>
  <si>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</si>
  <si>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</si>
  <si>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</si>
  <si>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</si>
  <si>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</si>
  <si>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</si>
  <si>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</si>
  <si>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</si>
  <si>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</si>
  <si>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</si>
  <si>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</si>
  <si>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</si>
  <si>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</si>
  <si>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</si>
  <si>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</si>
  <si>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</si>
  <si>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</si>
  <si>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</si>
  <si>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</si>
  <si>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</si>
  <si>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</si>
  <si>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</si>
  <si>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</si>
  <si>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</si>
  <si>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</si>
  <si>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</si>
  <si>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</si>
  <si>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</si>
  <si>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</si>
  <si>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</si>
  <si>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</si>
  <si>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</si>
  <si>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</si>
  <si>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</si>
  <si>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 xml:space="preserve">Note: The monthly "local liquidity"  using the value traded and Strate market capitalisation is </t>
  </si>
  <si>
    <t>NOTE:FTSE/JSE Indices were reintroduced in June 2002 and all values are reflective since.</t>
  </si>
  <si>
    <t>09/2016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</si>
  <si>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</si>
  <si>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</si>
  <si>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</si>
  <si>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</si>
  <si>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</si>
  <si>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</si>
  <si>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</si>
  <si>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</si>
  <si>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</si>
  <si>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</si>
  <si>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</si>
  <si>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</si>
  <si>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</si>
  <si>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</si>
  <si>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</si>
  <si>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</si>
  <si>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</si>
  <si>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</si>
  <si>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</si>
  <si>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</si>
  <si>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</si>
  <si>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</si>
  <si>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</si>
  <si>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</si>
  <si>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</si>
  <si>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</si>
  <si>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</si>
  <si>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</si>
  <si>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</si>
  <si>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</si>
  <si>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</si>
  <si>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</si>
  <si>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</si>
  <si>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</si>
  <si>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</si>
  <si>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</si>
  <si>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</si>
  <si>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</si>
  <si>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</si>
  <si>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</si>
  <si>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</si>
  <si>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</si>
  <si>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</si>
  <si>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</si>
  <si>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</si>
  <si>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</si>
  <si>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</si>
  <si>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</si>
  <si>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</si>
  <si>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</si>
  <si>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</si>
  <si>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MINI BITTER SORGHUM FUTURES</t>
  </si>
  <si>
    <t>MINI SWEET SORGUM FUTURES</t>
  </si>
  <si>
    <t>NATURAL GAS QUANTO</t>
  </si>
  <si>
    <t>PALLADIUM</t>
  </si>
  <si>
    <t>PALLADIUM QUANTO</t>
  </si>
  <si>
    <t>PLATINUM</t>
  </si>
  <si>
    <t xml:space="preserve">PLATINUM QUANTO </t>
  </si>
  <si>
    <t>QUANTO CORN COMMODITY CANDO</t>
  </si>
  <si>
    <t>QUANTO SOYBEAN COMMODITY CANDO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</si>
  <si>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</si>
  <si>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</si>
  <si>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</si>
  <si>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</si>
  <si>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</si>
  <si>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</si>
  <si>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</si>
  <si>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</si>
  <si>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</si>
  <si>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</si>
  <si>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</si>
  <si>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</si>
  <si>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</si>
  <si>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</si>
  <si>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</si>
  <si>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</si>
  <si>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</si>
  <si>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</si>
  <si>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BRENT CRUDE OIL COMMODITY CAN-DO</t>
  </si>
  <si>
    <t>EURONEXT MILLING WHEAT CONTRACT</t>
  </si>
  <si>
    <t>QUANTO SOYBEAN MEAL COMMODITY CANDO</t>
  </si>
  <si>
    <t>QUANTO SOYBEAN OIL COMMODITY CAN-DO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</si>
  <si>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</si>
  <si>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</si>
  <si>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</si>
  <si>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</si>
  <si>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</si>
  <si>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</si>
  <si>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</si>
  <si>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</si>
  <si>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</si>
  <si>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</si>
  <si>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</si>
  <si>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</si>
  <si>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</si>
  <si>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</si>
  <si>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</si>
  <si>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</si>
  <si>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</si>
  <si>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</si>
  <si>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</si>
  <si>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</si>
  <si>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</si>
  <si>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</si>
  <si>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</si>
  <si>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</si>
  <si>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</si>
  <si>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</si>
  <si>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</si>
  <si>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</si>
  <si>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</si>
  <si>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</si>
  <si>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</si>
  <si>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</si>
  <si>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</si>
  <si>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</si>
  <si>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</si>
  <si>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</si>
  <si>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</si>
  <si>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</si>
  <si>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</si>
  <si>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</si>
  <si>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</si>
  <si>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2019/02</t>
  </si>
  <si>
    <t>CorporateActionTypeCode</t>
  </si>
  <si>
    <t>SUM_TotalValue</t>
  </si>
  <si>
    <t>GI</t>
  </si>
  <si>
    <t>SI</t>
  </si>
  <si>
    <t>SO</t>
  </si>
  <si>
    <t>SS</t>
  </si>
  <si>
    <t>TU</t>
  </si>
  <si>
    <t>AS</t>
  </si>
  <si>
    <t xml:space="preserve">                      -  </t>
  </si>
  <si>
    <t xml:space="preserve">                         -   </t>
  </si>
  <si>
    <t xml:space="preserve">                        -    </t>
  </si>
  <si>
    <t xml:space="preserve">                         -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</si>
</sst>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3980">
    <xf numFmtId="0" fontId="0" fillId="0" borderId="0"/>
    <xf numFmtId="165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21" fillId="0" borderId="0" xfId="0" applyFont="1"/>
    <xf numFmtId="165" fontId="0" fillId="0" borderId="0" xfId="1" applyFont="1"/>
    <xf numFmtId="166" fontId="0" fillId="0" borderId="0" xfId="1" applyNumberFormat="1" applyFont="1"/>
    <xf numFmtId="166" fontId="21" fillId="0" borderId="0" xfId="1" applyNumberFormat="1" applyFont="1"/>
    <xf numFmtId="165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4" fillId="0" borderId="0" xfId="0" applyNumberFormat="1" applyFont="1"/>
    <xf numFmtId="0" fontId="22" fillId="0" borderId="0" xfId="0" applyFont="1"/>
    <xf numFmtId="166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5" fontId="0" fillId="0" borderId="0" xfId="0" applyNumberFormat="1"/>
    <xf numFmtId="0" fontId="26" fillId="0" borderId="0" xfId="0" applyFont="1"/>
    <xf numFmtId="168" fontId="18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6" fontId="0" fillId="0" borderId="0" xfId="0" applyNumberFormat="1" applyFont="1"/>
    <xf numFmtId="0" fontId="0" fillId="0" borderId="0" xfId="0" applyFont="1"/>
    <xf numFmtId="166" fontId="17" fillId="0" borderId="0" xfId="0" applyNumberFormat="1" applyFont="1" applyFill="1"/>
    <xf numFmtId="3" fontId="18" fillId="0" borderId="0" xfId="0" applyNumberFormat="1" applyFont="1"/>
    <xf numFmtId="166" fontId="22" fillId="0" borderId="0" xfId="0" applyNumberFormat="1" applyFont="1" applyFill="1"/>
    <xf numFmtId="166" fontId="0" fillId="0" borderId="0" xfId="0" applyNumberFormat="1" applyFont="1" applyFill="1"/>
    <xf numFmtId="166" fontId="21" fillId="0" borderId="0" xfId="0" applyNumberFormat="1" applyFont="1"/>
    <xf numFmtId="0" fontId="21" fillId="0" borderId="0" xfId="0" applyFont="1"/>
    <xf numFmtId="0" fontId="24" fillId="0" borderId="0" xfId="0" applyFont="1"/>
    <xf numFmtId="166" fontId="18" fillId="0" borderId="0" xfId="0" applyNumberFormat="1" applyFont="1"/>
    <xf numFmtId="167" fontId="0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166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7" fillId="0" borderId="0" xfId="0" applyNumberFormat="1" applyFont="1"/>
    <xf numFmtId="166" fontId="22" fillId="0" borderId="0" xfId="0" applyNumberFormat="1" applyFont="1"/>
    <xf numFmtId="167" fontId="22" fillId="0" borderId="0" xfId="0" applyNumberFormat="1" applyFont="1"/>
    <xf numFmtId="0" fontId="46" fillId="0" borderId="0" xfId="0" applyFont="1"/>
    <xf numFmtId="167" fontId="0" fillId="0" borderId="0" xfId="0" applyNumberFormat="1" applyFont="1" applyAlignment="1">
      <alignment horizontal="right"/>
    </xf>
    <xf numFmtId="166" fontId="46" fillId="0" borderId="0" xfId="0" applyNumberFormat="1" applyFont="1"/>
    <xf numFmtId="166" fontId="45" fillId="0" borderId="0" xfId="0" applyNumberFormat="1" applyFont="1"/>
    <xf numFmtId="0" fontId="21" fillId="0" borderId="0" xfId="0" applyFont="1"/>
    <xf numFmtId="167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6" fontId="0" fillId="0" borderId="0" xfId="0" applyNumberFormat="1" applyFont="1"/>
    <xf numFmtId="166" fontId="17" fillId="0" borderId="0" xfId="1" applyNumberFormat="1" applyFont="1"/>
    <xf numFmtId="0" fontId="21" fillId="0" borderId="0" xfId="0" applyFont="1"/>
    <xf numFmtId="0" fontId="21" fillId="0" borderId="0" xfId="0" applyFont="1"/>
    <xf numFmtId="166" fontId="24" fillId="0" borderId="0" xfId="0" quotePrefix="1" applyNumberFormat="1" applyFont="1" applyAlignment="1">
      <alignment horizontal="right"/>
    </xf>
    <xf numFmtId="166" fontId="16" fillId="0" borderId="0" xfId="0" applyNumberFormat="1" applyFont="1"/>
    <xf numFmtId="166" fontId="20" fillId="0" borderId="0" xfId="0" applyNumberFormat="1" applyFont="1"/>
    <xf numFmtId="0" fontId="45" fillId="0" borderId="0" xfId="0" applyFont="1"/>
    <xf numFmtId="166" fontId="16" fillId="0" borderId="0" xfId="0" applyNumberFormat="1" applyFont="1"/>
    <xf numFmtId="0" fontId="16" fillId="0" borderId="0" xfId="0" applyFont="1"/>
    <xf numFmtId="166" fontId="15" fillId="0" borderId="0" xfId="0" applyNumberFormat="1" applyFont="1"/>
    <xf numFmtId="166" fontId="0" fillId="0" borderId="0" xfId="0" applyNumberFormat="1"/>
    <xf numFmtId="0" fontId="21" fillId="0" borderId="0" xfId="0" applyFont="1"/>
    <xf numFmtId="166" fontId="14" fillId="0" borderId="0" xfId="0" applyNumberFormat="1" applyFont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/>
    <xf numFmtId="169" fontId="43" fillId="0" borderId="0" xfId="0" applyNumberFormat="1" applyFont="1" applyFill="1" applyBorder="1" applyAlignment="1">
      <alignment horizontal="right"/>
    </xf>
    <xf numFmtId="169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5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6" fontId="15" fillId="0" borderId="0" xfId="1" applyNumberFormat="1" applyFont="1"/>
    <xf numFmtId="0" fontId="48" fillId="0" borderId="0" xfId="0" applyFont="1"/>
    <xf numFmtId="171" fontId="0" fillId="0" borderId="0" xfId="0" applyNumberFormat="1"/>
    <xf numFmtId="0" fontId="43" fillId="0" borderId="0" xfId="0" applyFont="1"/>
    <xf numFmtId="3" fontId="43" fillId="0" borderId="0" xfId="0" applyNumberFormat="1" applyFont="1"/>
    <xf numFmtId="171" fontId="43" fillId="0" borderId="0" xfId="0" applyNumberFormat="1" applyFont="1"/>
    <xf numFmtId="166" fontId="43" fillId="0" borderId="0" xfId="1" applyNumberFormat="1" applyFont="1"/>
    <xf numFmtId="166" fontId="43" fillId="0" borderId="0" xfId="0" applyNumberFormat="1" applyFont="1"/>
    <xf numFmtId="170" fontId="0" fillId="0" borderId="0" xfId="1" applyNumberFormat="1" applyFont="1"/>
    <xf numFmtId="170" fontId="43" fillId="0" borderId="0" xfId="0" applyNumberFormat="1" applyFont="1"/>
    <xf numFmtId="170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9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1" fillId="0" borderId="11" xfId="0" applyNumberFormat="1" applyFont="1" applyBorder="1"/>
    <xf numFmtId="166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6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6" fontId="26" fillId="0" borderId="0" xfId="1" applyNumberFormat="1" applyFont="1"/>
    <xf numFmtId="166" fontId="26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6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6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5" fontId="49" fillId="34" borderId="0" xfId="1" applyFont="1" applyFill="1"/>
    <xf numFmtId="165" fontId="26" fillId="0" borderId="11" xfId="1" applyFont="1" applyBorder="1"/>
    <xf numFmtId="0" fontId="26" fillId="0" borderId="0" xfId="0" applyFont="1" applyBorder="1"/>
    <xf numFmtId="165" fontId="26" fillId="0" borderId="0" xfId="1" applyFont="1"/>
    <xf numFmtId="165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6" fontId="26" fillId="0" borderId="0" xfId="1" applyNumberFormat="1" applyFont="1" applyFill="1"/>
    <xf numFmtId="0" fontId="49" fillId="34" borderId="14" xfId="0" applyFont="1" applyFill="1" applyBorder="1"/>
    <xf numFmtId="165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6" fontId="49" fillId="0" borderId="0" xfId="1" applyNumberFormat="1" applyFont="1"/>
    <xf numFmtId="0" fontId="49" fillId="34" borderId="0" xfId="0" applyFont="1" applyFill="1" applyAlignment="1"/>
    <xf numFmtId="165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166" fontId="26" fillId="0" borderId="0" xfId="1" applyNumberFormat="1" applyFont="1" applyBorder="1"/>
    <xf numFmtId="165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6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6" fontId="18" fillId="0" borderId="0" xfId="0" applyNumberFormat="1" applyFont="1"/>
    <xf numFmtId="166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20" fillId="0" borderId="0" xfId="0" applyNumberFormat="1" applyFont="1"/>
    <xf numFmtId="166" fontId="21" fillId="0" borderId="0" xfId="0" applyNumberFormat="1" applyFont="1"/>
    <xf numFmtId="166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5" fontId="13" fillId="0" borderId="0" xfId="46" applyFont="1"/>
    <xf numFmtId="165" fontId="53" fillId="0" borderId="0" xfId="46" applyFont="1" applyFill="1" applyAlignment="1"/>
    <xf numFmtId="165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6" fontId="53" fillId="0" borderId="0" xfId="335" applyNumberFormat="1" applyFont="1" applyFill="1" applyAlignment="1"/>
    <xf numFmtId="166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6" fontId="53" fillId="0" borderId="0" xfId="573" applyNumberFormat="1" applyFont="1" applyFill="1" applyAlignment="1"/>
    <xf numFmtId="166" fontId="5" fillId="0" borderId="0" xfId="573" applyNumberFormat="1" applyFont="1" applyFill="1"/>
    <xf numFmtId="166" fontId="53" fillId="0" borderId="0" xfId="46" applyNumberFormat="1" applyFont="1" applyFill="1" applyAlignment="1"/>
    <xf numFmtId="166" fontId="5" fillId="0" borderId="0" xfId="46" applyNumberFormat="1" applyFont="1" applyFill="1"/>
    <xf numFmtId="165" fontId="5" fillId="0" borderId="0" xfId="573" applyNumberFormat="1" applyFont="1" applyFill="1"/>
    <xf numFmtId="165" fontId="53" fillId="0" borderId="0" xfId="573" applyFont="1" applyFill="1" applyAlignment="1"/>
    <xf numFmtId="165" fontId="5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6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6" fontId="26" fillId="0" borderId="11" xfId="0" applyNumberFormat="1" applyFont="1" applyBorder="1"/>
    <xf numFmtId="10" fontId="26" fillId="0" borderId="11" xfId="43" applyNumberFormat="1" applyFont="1" applyBorder="1"/>
    <xf numFmtId="166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6" fontId="26" fillId="0" borderId="0" xfId="0" applyNumberFormat="1" applyFont="1" applyAlignment="1">
      <alignment horizontal="right"/>
    </xf>
    <xf numFmtId="0" fontId="49" fillId="0" borderId="11" xfId="0" applyFont="1" applyBorder="1"/>
    <xf numFmtId="166" fontId="49" fillId="0" borderId="11" xfId="0" applyNumberFormat="1" applyFont="1" applyBorder="1"/>
    <xf numFmtId="166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6" fontId="58" fillId="0" borderId="0" xfId="0" applyNumberFormat="1" applyFont="1" applyFill="1"/>
    <xf numFmtId="166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6" fontId="26" fillId="0" borderId="0" xfId="0" applyNumberFormat="1" applyFont="1" applyFill="1" applyAlignment="1"/>
    <xf numFmtId="0" fontId="59" fillId="0" borderId="0" xfId="0" applyFont="1"/>
    <xf numFmtId="166" fontId="60" fillId="0" borderId="0" xfId="0" applyNumberFormat="1" applyFont="1"/>
    <xf numFmtId="166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6" fontId="55" fillId="0" borderId="0" xfId="0" applyNumberFormat="1" applyFont="1"/>
    <xf numFmtId="3" fontId="49" fillId="34" borderId="0" xfId="0" applyNumberFormat="1" applyFont="1" applyFill="1"/>
    <xf numFmtId="9" fontId="26" fillId="0" borderId="0" xfId="0" applyNumberFormat="1" applyFont="1"/>
    <xf numFmtId="10" fontId="49" fillId="0" borderId="0" xfId="43" applyNumberFormat="1" applyFont="1"/>
    <xf numFmtId="167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6" fontId="49" fillId="34" borderId="0" xfId="0" applyNumberFormat="1" applyFont="1" applyFill="1"/>
    <xf numFmtId="166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9" fontId="49" fillId="34" borderId="12" xfId="0" applyNumberFormat="1" applyFont="1" applyFill="1" applyBorder="1" applyAlignment="1">
      <alignment horizontal="right"/>
    </xf>
    <xf numFmtId="169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6" fontId="26" fillId="0" borderId="0" xfId="0" applyNumberFormat="1" applyFont="1" applyFill="1" applyBorder="1" applyAlignment="1">
      <alignment horizontal="right"/>
    </xf>
    <xf numFmtId="166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6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6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6" fontId="4" fillId="0" borderId="0" xfId="1087" applyNumberFormat="1" applyFont="1" applyFill="1"/>
    <xf numFmtId="165" fontId="4" fillId="0" borderId="0" xfId="1087" applyNumberFormat="1" applyFont="1" applyFill="1"/>
    <xf numFmtId="166" fontId="26" fillId="0" borderId="0" xfId="0" applyNumberFormat="1" applyFont="1" applyFill="1"/>
    <xf numFmtId="166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166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/>
    <xf numFmtId="166" fontId="26" fillId="0" borderId="11" xfId="0" applyNumberFormat="1" applyFont="1" applyFill="1" applyBorder="1"/>
    <xf numFmtId="166" fontId="49" fillId="0" borderId="11" xfId="0" applyNumberFormat="1" applyFont="1" applyBorder="1"/>
    <xf numFmtId="167" fontId="26" fillId="0" borderId="0" xfId="0" applyNumberFormat="1" applyFont="1" applyAlignment="1">
      <alignment horizontal="right"/>
    </xf>
    <xf numFmtId="167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6" fontId="49" fillId="0" borderId="0" xfId="0" applyNumberFormat="1" applyFont="1" applyFill="1"/>
    <xf numFmtId="164" fontId="0" fillId="0" borderId="0" xfId="0" applyNumberFormat="1" applyFont="1"/>
    <xf numFmtId="0" fontId="50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49" fillId="0" borderId="0" xfId="0" applyNumberFormat="1" applyFont="1" applyAlignment="1">
      <alignment horizontal="center"/>
    </xf>
    <xf numFmtId="166" fontId="59" fillId="34" borderId="14" xfId="0" quotePrefix="1" applyNumberFormat="1" applyFont="1" applyFill="1" applyBorder="1" applyAlignment="1">
      <alignment horizontal="right"/>
    </xf>
    <xf numFmtId="166" fontId="59" fillId="34" borderId="0" xfId="0" quotePrefix="1" applyNumberFormat="1" applyFont="1" applyFill="1" applyBorder="1" applyAlignment="1">
      <alignment horizontal="right"/>
    </xf>
    <xf numFmtId="166" fontId="59" fillId="34" borderId="12" xfId="0" quotePrefix="1" applyNumberFormat="1" applyFont="1" applyFill="1" applyBorder="1" applyAlignment="1">
      <alignment horizontal="right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5" fontId="49" fillId="34" borderId="0" xfId="1" applyFont="1" applyFill="1" applyBorder="1" applyAlignment="1">
      <alignment horizontal="right" wrapText="1"/>
    </xf>
    <xf numFmtId="165" fontId="49" fillId="34" borderId="12" xfId="1" applyFont="1" applyFill="1" applyBorder="1" applyAlignment="1">
      <alignment horizontal="right" wrapText="1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horizontal="center"/>
    </xf>
    <xf numFmtId="166" fontId="26" fillId="0" borderId="0" xfId="0" applyNumberFormat="1" applyFont="1" applyFill="1"/>
    <xf numFmtId="0" fontId="26" fillId="0" borderId="0" xfId="0" applyFont="1" applyFill="1"/>
    <xf numFmtId="10" fontId="26" fillId="0" borderId="0" xfId="43" applyNumberFormat="1" applyFont="1" applyFill="1"/>
    <xf numFmtId="166" fontId="26" fillId="0" borderId="0" xfId="0" applyNumberFormat="1" applyFont="1" applyFill="1" applyBorder="1" applyAlignment="1">
      <alignment horizontal="right"/>
    </xf>
    <xf numFmtId="166" fontId="26" fillId="0" borderId="0" xfId="0" applyNumberFormat="1" applyFont="1" applyFill="1"/>
    <xf numFmtId="10" fontId="26" fillId="0" borderId="0" xfId="43" applyNumberFormat="1" applyFont="1" applyFill="1"/>
    <xf numFmtId="166" fontId="26" fillId="0" borderId="0" xfId="0" applyNumberFormat="1" applyFont="1" applyFill="1" applyBorder="1" applyAlignment="1">
      <alignment horizontal="right"/>
    </xf>
  </cellXfs>
  <cellStyles count="3980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2 2" xfId="3871"/>
    <cellStyle name="Comma 10 2 2 3" xfId="2955"/>
    <cellStyle name="Comma 10 2 3" xfId="1512"/>
    <cellStyle name="Comma 10 2 3 2" xfId="3421"/>
    <cellStyle name="Comma 10 2 4" xfId="2505"/>
    <cellStyle name="Comma 10 3" xfId="725"/>
    <cellStyle name="Comma 10 3 2" xfId="1769"/>
    <cellStyle name="Comma 10 3 2 2" xfId="3646"/>
    <cellStyle name="Comma 10 3 3" xfId="2730"/>
    <cellStyle name="Comma 10 4" xfId="1249"/>
    <cellStyle name="Comma 10 4 2" xfId="3190"/>
    <cellStyle name="Comma 10 5" xfId="2274"/>
    <cellStyle name="Comma 11" xfId="70"/>
    <cellStyle name="Comma 11 2" xfId="357"/>
    <cellStyle name="Comma 11 2 2" xfId="871"/>
    <cellStyle name="Comma 11 2 2 2" xfId="1915"/>
    <cellStyle name="Comma 11 2 2 2 2" xfId="3763"/>
    <cellStyle name="Comma 11 2 2 3" xfId="2847"/>
    <cellStyle name="Comma 11 2 3" xfId="1401"/>
    <cellStyle name="Comma 11 2 3 2" xfId="3313"/>
    <cellStyle name="Comma 11 2 4" xfId="2397"/>
    <cellStyle name="Comma 11 3" xfId="614"/>
    <cellStyle name="Comma 11 3 2" xfId="1658"/>
    <cellStyle name="Comma 11 3 2 2" xfId="3538"/>
    <cellStyle name="Comma 11 3 3" xfId="2622"/>
    <cellStyle name="Comma 11 4" xfId="1130"/>
    <cellStyle name="Comma 11 4 2" xfId="3074"/>
    <cellStyle name="Comma 11 5" xfId="2158"/>
    <cellStyle name="Comma 12" xfId="1103"/>
    <cellStyle name="Comma 12 2" xfId="3063"/>
    <cellStyle name="Comma 13" xfId="2147"/>
    <cellStyle name="Comma 2" xfId="45"/>
    <cellStyle name="Comma 2 10" xfId="72"/>
    <cellStyle name="Comma 2 10 2" xfId="359"/>
    <cellStyle name="Comma 2 10 2 2" xfId="873"/>
    <cellStyle name="Comma 2 10 2 2 2" xfId="1917"/>
    <cellStyle name="Comma 2 10 2 2 2 2" xfId="3764"/>
    <cellStyle name="Comma 2 10 2 2 3" xfId="2848"/>
    <cellStyle name="Comma 2 10 2 3" xfId="1403"/>
    <cellStyle name="Comma 2 10 2 3 2" xfId="3314"/>
    <cellStyle name="Comma 2 10 2 4" xfId="2398"/>
    <cellStyle name="Comma 2 10 3" xfId="616"/>
    <cellStyle name="Comma 2 10 3 2" xfId="1660"/>
    <cellStyle name="Comma 2 10 3 2 2" xfId="3539"/>
    <cellStyle name="Comma 2 10 3 3" xfId="2623"/>
    <cellStyle name="Comma 2 10 4" xfId="1132"/>
    <cellStyle name="Comma 2 10 4 2" xfId="3075"/>
    <cellStyle name="Comma 2 10 5" xfId="2159"/>
    <cellStyle name="Comma 2 11" xfId="333"/>
    <cellStyle name="Comma 2 11 2" xfId="847"/>
    <cellStyle name="Comma 2 11 2 2" xfId="1891"/>
    <cellStyle name="Comma 2 11 2 2 2" xfId="3754"/>
    <cellStyle name="Comma 2 11 2 3" xfId="2838"/>
    <cellStyle name="Comma 2 11 3" xfId="1377"/>
    <cellStyle name="Comma 2 11 3 2" xfId="3304"/>
    <cellStyle name="Comma 2 11 4" xfId="2388"/>
    <cellStyle name="Comma 2 12" xfId="590"/>
    <cellStyle name="Comma 2 12 2" xfId="1634"/>
    <cellStyle name="Comma 2 12 2 2" xfId="3529"/>
    <cellStyle name="Comma 2 12 3" xfId="2613"/>
    <cellStyle name="Comma 2 13" xfId="1105"/>
    <cellStyle name="Comma 2 13 2" xfId="3064"/>
    <cellStyle name="Comma 2 14" xfId="2148"/>
    <cellStyle name="Comma 2 2" xfId="48"/>
    <cellStyle name="Comma 2 2 10" xfId="335"/>
    <cellStyle name="Comma 2 2 10 2" xfId="849"/>
    <cellStyle name="Comma 2 2 10 2 2" xfId="1893"/>
    <cellStyle name="Comma 2 2 10 2 2 2" xfId="3755"/>
    <cellStyle name="Comma 2 2 10 2 3" xfId="2839"/>
    <cellStyle name="Comma 2 2 10 3" xfId="1379"/>
    <cellStyle name="Comma 2 2 10 3 2" xfId="3305"/>
    <cellStyle name="Comma 2 2 10 4" xfId="2389"/>
    <cellStyle name="Comma 2 2 11" xfId="592"/>
    <cellStyle name="Comma 2 2 11 2" xfId="1636"/>
    <cellStyle name="Comma 2 2 11 2 2" xfId="3530"/>
    <cellStyle name="Comma 2 2 11 3" xfId="2614"/>
    <cellStyle name="Comma 2 2 12" xfId="1108"/>
    <cellStyle name="Comma 2 2 12 2" xfId="3066"/>
    <cellStyle name="Comma 2 2 13" xfId="2150"/>
    <cellStyle name="Comma 2 2 2" xfId="53"/>
    <cellStyle name="Comma 2 2 2 10" xfId="1113"/>
    <cellStyle name="Comma 2 2 2 10 2" xfId="3068"/>
    <cellStyle name="Comma 2 2 2 11" xfId="2152"/>
    <cellStyle name="Comma 2 2 2 2" xfId="66"/>
    <cellStyle name="Comma 2 2 2 2 10" xfId="2157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2 2" xfId="3975"/>
    <cellStyle name="Comma 2 2 2 2 2 2 2 2 2 3" xfId="3059"/>
    <cellStyle name="Comma 2 2 2 2 2 2 2 2 3" xfId="1616"/>
    <cellStyle name="Comma 2 2 2 2 2 2 2 2 3 2" xfId="3525"/>
    <cellStyle name="Comma 2 2 2 2 2 2 2 2 4" xfId="2609"/>
    <cellStyle name="Comma 2 2 2 2 2 2 2 3" xfId="829"/>
    <cellStyle name="Comma 2 2 2 2 2 2 2 3 2" xfId="1873"/>
    <cellStyle name="Comma 2 2 2 2 2 2 2 3 2 2" xfId="3750"/>
    <cellStyle name="Comma 2 2 2 2 2 2 2 3 3" xfId="2834"/>
    <cellStyle name="Comma 2 2 2 2 2 2 2 4" xfId="1359"/>
    <cellStyle name="Comma 2 2 2 2 2 2 2 4 2" xfId="3300"/>
    <cellStyle name="Comma 2 2 2 2 2 2 2 5" xfId="2384"/>
    <cellStyle name="Comma 2 2 2 2 2 2 3" xfId="464"/>
    <cellStyle name="Comma 2 2 2 2 2 2 3 2" xfId="978"/>
    <cellStyle name="Comma 2 2 2 2 2 2 3 2 2" xfId="2022"/>
    <cellStyle name="Comma 2 2 2 2 2 2 3 2 2 2" xfId="3867"/>
    <cellStyle name="Comma 2 2 2 2 2 2 3 2 3" xfId="2951"/>
    <cellStyle name="Comma 2 2 2 2 2 2 3 3" xfId="1508"/>
    <cellStyle name="Comma 2 2 2 2 2 2 3 3 2" xfId="3417"/>
    <cellStyle name="Comma 2 2 2 2 2 2 3 4" xfId="2501"/>
    <cellStyle name="Comma 2 2 2 2 2 2 4" xfId="721"/>
    <cellStyle name="Comma 2 2 2 2 2 2 4 2" xfId="1765"/>
    <cellStyle name="Comma 2 2 2 2 2 2 4 2 2" xfId="3642"/>
    <cellStyle name="Comma 2 2 2 2 2 2 4 3" xfId="2726"/>
    <cellStyle name="Comma 2 2 2 2 2 2 5" xfId="1245"/>
    <cellStyle name="Comma 2 2 2 2 2 2 5 2" xfId="3186"/>
    <cellStyle name="Comma 2 2 2 2 2 2 6" xfId="2270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2 2" xfId="3939"/>
    <cellStyle name="Comma 2 2 2 2 2 3 2 2 2 3" xfId="3023"/>
    <cellStyle name="Comma 2 2 2 2 2 3 2 2 3" xfId="1580"/>
    <cellStyle name="Comma 2 2 2 2 2 3 2 2 3 2" xfId="3489"/>
    <cellStyle name="Comma 2 2 2 2 2 3 2 2 4" xfId="2573"/>
    <cellStyle name="Comma 2 2 2 2 2 3 2 3" xfId="793"/>
    <cellStyle name="Comma 2 2 2 2 2 3 2 3 2" xfId="1837"/>
    <cellStyle name="Comma 2 2 2 2 2 3 2 3 2 2" xfId="3714"/>
    <cellStyle name="Comma 2 2 2 2 2 3 2 3 3" xfId="2798"/>
    <cellStyle name="Comma 2 2 2 2 2 3 2 4" xfId="1321"/>
    <cellStyle name="Comma 2 2 2 2 2 3 2 4 2" xfId="3262"/>
    <cellStyle name="Comma 2 2 2 2 2 3 2 5" xfId="2346"/>
    <cellStyle name="Comma 2 2 2 2 2 3 3" xfId="428"/>
    <cellStyle name="Comma 2 2 2 2 2 3 3 2" xfId="942"/>
    <cellStyle name="Comma 2 2 2 2 2 3 3 2 2" xfId="1986"/>
    <cellStyle name="Comma 2 2 2 2 2 3 3 2 2 2" xfId="3831"/>
    <cellStyle name="Comma 2 2 2 2 2 3 3 2 3" xfId="2915"/>
    <cellStyle name="Comma 2 2 2 2 2 3 3 3" xfId="1472"/>
    <cellStyle name="Comma 2 2 2 2 2 3 3 3 2" xfId="3381"/>
    <cellStyle name="Comma 2 2 2 2 2 3 3 4" xfId="2465"/>
    <cellStyle name="Comma 2 2 2 2 2 3 4" xfId="685"/>
    <cellStyle name="Comma 2 2 2 2 2 3 4 2" xfId="1729"/>
    <cellStyle name="Comma 2 2 2 2 2 3 4 2 2" xfId="3606"/>
    <cellStyle name="Comma 2 2 2 2 2 3 4 3" xfId="2690"/>
    <cellStyle name="Comma 2 2 2 2 2 3 5" xfId="1207"/>
    <cellStyle name="Comma 2 2 2 2 2 3 5 2" xfId="3148"/>
    <cellStyle name="Comma 2 2 2 2 2 3 6" xfId="2232"/>
    <cellStyle name="Comma 2 2 2 2 2 4" xfId="232"/>
    <cellStyle name="Comma 2 2 2 2 2 4 2" xfId="500"/>
    <cellStyle name="Comma 2 2 2 2 2 4 2 2" xfId="1014"/>
    <cellStyle name="Comma 2 2 2 2 2 4 2 2 2" xfId="2058"/>
    <cellStyle name="Comma 2 2 2 2 2 4 2 2 2 2" xfId="3903"/>
    <cellStyle name="Comma 2 2 2 2 2 4 2 2 3" xfId="2987"/>
    <cellStyle name="Comma 2 2 2 2 2 4 2 3" xfId="1544"/>
    <cellStyle name="Comma 2 2 2 2 2 4 2 3 2" xfId="3453"/>
    <cellStyle name="Comma 2 2 2 2 2 4 2 4" xfId="2537"/>
    <cellStyle name="Comma 2 2 2 2 2 4 3" xfId="757"/>
    <cellStyle name="Comma 2 2 2 2 2 4 3 2" xfId="1801"/>
    <cellStyle name="Comma 2 2 2 2 2 4 3 2 2" xfId="3678"/>
    <cellStyle name="Comma 2 2 2 2 2 4 3 3" xfId="2762"/>
    <cellStyle name="Comma 2 2 2 2 2 4 4" xfId="1283"/>
    <cellStyle name="Comma 2 2 2 2 2 4 4 2" xfId="3224"/>
    <cellStyle name="Comma 2 2 2 2 2 4 5" xfId="2308"/>
    <cellStyle name="Comma 2 2 2 2 2 5" xfId="392"/>
    <cellStyle name="Comma 2 2 2 2 2 5 2" xfId="906"/>
    <cellStyle name="Comma 2 2 2 2 2 5 2 2" xfId="1950"/>
    <cellStyle name="Comma 2 2 2 2 2 5 2 2 2" xfId="3795"/>
    <cellStyle name="Comma 2 2 2 2 2 5 2 3" xfId="2879"/>
    <cellStyle name="Comma 2 2 2 2 2 5 3" xfId="1436"/>
    <cellStyle name="Comma 2 2 2 2 2 5 3 2" xfId="3345"/>
    <cellStyle name="Comma 2 2 2 2 2 5 4" xfId="2429"/>
    <cellStyle name="Comma 2 2 2 2 2 6" xfId="649"/>
    <cellStyle name="Comma 2 2 2 2 2 6 2" xfId="1693"/>
    <cellStyle name="Comma 2 2 2 2 2 6 2 2" xfId="3570"/>
    <cellStyle name="Comma 2 2 2 2 2 6 3" xfId="2654"/>
    <cellStyle name="Comma 2 2 2 2 2 7" xfId="1169"/>
    <cellStyle name="Comma 2 2 2 2 2 7 2" xfId="3110"/>
    <cellStyle name="Comma 2 2 2 2 2 8" xfId="2194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2 2" xfId="3957"/>
    <cellStyle name="Comma 2 2 2 2 3 2 2 2 3" xfId="3041"/>
    <cellStyle name="Comma 2 2 2 2 3 2 2 3" xfId="1598"/>
    <cellStyle name="Comma 2 2 2 2 3 2 2 3 2" xfId="3507"/>
    <cellStyle name="Comma 2 2 2 2 3 2 2 4" xfId="2591"/>
    <cellStyle name="Comma 2 2 2 2 3 2 3" xfId="811"/>
    <cellStyle name="Comma 2 2 2 2 3 2 3 2" xfId="1855"/>
    <cellStyle name="Comma 2 2 2 2 3 2 3 2 2" xfId="3732"/>
    <cellStyle name="Comma 2 2 2 2 3 2 3 3" xfId="2816"/>
    <cellStyle name="Comma 2 2 2 2 3 2 4" xfId="1340"/>
    <cellStyle name="Comma 2 2 2 2 3 2 4 2" xfId="3281"/>
    <cellStyle name="Comma 2 2 2 2 3 2 5" xfId="2365"/>
    <cellStyle name="Comma 2 2 2 2 3 3" xfId="446"/>
    <cellStyle name="Comma 2 2 2 2 3 3 2" xfId="960"/>
    <cellStyle name="Comma 2 2 2 2 3 3 2 2" xfId="2004"/>
    <cellStyle name="Comma 2 2 2 2 3 3 2 2 2" xfId="3849"/>
    <cellStyle name="Comma 2 2 2 2 3 3 2 3" xfId="2933"/>
    <cellStyle name="Comma 2 2 2 2 3 3 3" xfId="1490"/>
    <cellStyle name="Comma 2 2 2 2 3 3 3 2" xfId="3399"/>
    <cellStyle name="Comma 2 2 2 2 3 3 4" xfId="2483"/>
    <cellStyle name="Comma 2 2 2 2 3 4" xfId="703"/>
    <cellStyle name="Comma 2 2 2 2 3 4 2" xfId="1747"/>
    <cellStyle name="Comma 2 2 2 2 3 4 2 2" xfId="3624"/>
    <cellStyle name="Comma 2 2 2 2 3 4 3" xfId="2708"/>
    <cellStyle name="Comma 2 2 2 2 3 5" xfId="1226"/>
    <cellStyle name="Comma 2 2 2 2 3 5 2" xfId="3167"/>
    <cellStyle name="Comma 2 2 2 2 3 6" xfId="2251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2 2" xfId="3921"/>
    <cellStyle name="Comma 2 2 2 2 4 2 2 2 3" xfId="3005"/>
    <cellStyle name="Comma 2 2 2 2 4 2 2 3" xfId="1562"/>
    <cellStyle name="Comma 2 2 2 2 4 2 2 3 2" xfId="3471"/>
    <cellStyle name="Comma 2 2 2 2 4 2 2 4" xfId="2555"/>
    <cellStyle name="Comma 2 2 2 2 4 2 3" xfId="775"/>
    <cellStyle name="Comma 2 2 2 2 4 2 3 2" xfId="1819"/>
    <cellStyle name="Comma 2 2 2 2 4 2 3 2 2" xfId="3696"/>
    <cellStyle name="Comma 2 2 2 2 4 2 3 3" xfId="2780"/>
    <cellStyle name="Comma 2 2 2 2 4 2 4" xfId="1302"/>
    <cellStyle name="Comma 2 2 2 2 4 2 4 2" xfId="3243"/>
    <cellStyle name="Comma 2 2 2 2 4 2 5" xfId="2327"/>
    <cellStyle name="Comma 2 2 2 2 4 3" xfId="410"/>
    <cellStyle name="Comma 2 2 2 2 4 3 2" xfId="924"/>
    <cellStyle name="Comma 2 2 2 2 4 3 2 2" xfId="1968"/>
    <cellStyle name="Comma 2 2 2 2 4 3 2 2 2" xfId="3813"/>
    <cellStyle name="Comma 2 2 2 2 4 3 2 3" xfId="2897"/>
    <cellStyle name="Comma 2 2 2 2 4 3 3" xfId="1454"/>
    <cellStyle name="Comma 2 2 2 2 4 3 3 2" xfId="3363"/>
    <cellStyle name="Comma 2 2 2 2 4 3 4" xfId="2447"/>
    <cellStyle name="Comma 2 2 2 2 4 4" xfId="667"/>
    <cellStyle name="Comma 2 2 2 2 4 4 2" xfId="1711"/>
    <cellStyle name="Comma 2 2 2 2 4 4 2 2" xfId="3588"/>
    <cellStyle name="Comma 2 2 2 2 4 4 3" xfId="2672"/>
    <cellStyle name="Comma 2 2 2 2 4 5" xfId="1188"/>
    <cellStyle name="Comma 2 2 2 2 4 5 2" xfId="3129"/>
    <cellStyle name="Comma 2 2 2 2 4 6" xfId="2213"/>
    <cellStyle name="Comma 2 2 2 2 5" xfId="212"/>
    <cellStyle name="Comma 2 2 2 2 5 2" xfId="482"/>
    <cellStyle name="Comma 2 2 2 2 5 2 2" xfId="996"/>
    <cellStyle name="Comma 2 2 2 2 5 2 2 2" xfId="2040"/>
    <cellStyle name="Comma 2 2 2 2 5 2 2 2 2" xfId="3885"/>
    <cellStyle name="Comma 2 2 2 2 5 2 2 3" xfId="2969"/>
    <cellStyle name="Comma 2 2 2 2 5 2 3" xfId="1526"/>
    <cellStyle name="Comma 2 2 2 2 5 2 3 2" xfId="3435"/>
    <cellStyle name="Comma 2 2 2 2 5 2 4" xfId="2519"/>
    <cellStyle name="Comma 2 2 2 2 5 3" xfId="739"/>
    <cellStyle name="Comma 2 2 2 2 5 3 2" xfId="1783"/>
    <cellStyle name="Comma 2 2 2 2 5 3 2 2" xfId="3660"/>
    <cellStyle name="Comma 2 2 2 2 5 3 3" xfId="2744"/>
    <cellStyle name="Comma 2 2 2 2 5 4" xfId="1264"/>
    <cellStyle name="Comma 2 2 2 2 5 4 2" xfId="3205"/>
    <cellStyle name="Comma 2 2 2 2 5 5" xfId="2289"/>
    <cellStyle name="Comma 2 2 2 2 6" xfId="90"/>
    <cellStyle name="Comma 2 2 2 2 6 2" xfId="374"/>
    <cellStyle name="Comma 2 2 2 2 6 2 2" xfId="888"/>
    <cellStyle name="Comma 2 2 2 2 6 2 2 2" xfId="1932"/>
    <cellStyle name="Comma 2 2 2 2 6 2 2 2 2" xfId="3777"/>
    <cellStyle name="Comma 2 2 2 2 6 2 2 3" xfId="2861"/>
    <cellStyle name="Comma 2 2 2 2 6 2 3" xfId="1418"/>
    <cellStyle name="Comma 2 2 2 2 6 2 3 2" xfId="3327"/>
    <cellStyle name="Comma 2 2 2 2 6 2 4" xfId="2411"/>
    <cellStyle name="Comma 2 2 2 2 6 3" xfId="631"/>
    <cellStyle name="Comma 2 2 2 2 6 3 2" xfId="1675"/>
    <cellStyle name="Comma 2 2 2 2 6 3 2 2" xfId="3552"/>
    <cellStyle name="Comma 2 2 2 2 6 3 3" xfId="2636"/>
    <cellStyle name="Comma 2 2 2 2 6 4" xfId="1150"/>
    <cellStyle name="Comma 2 2 2 2 6 4 2" xfId="3091"/>
    <cellStyle name="Comma 2 2 2 2 6 5" xfId="2175"/>
    <cellStyle name="Comma 2 2 2 2 7" xfId="353"/>
    <cellStyle name="Comma 2 2 2 2 7 2" xfId="867"/>
    <cellStyle name="Comma 2 2 2 2 7 2 2" xfId="1911"/>
    <cellStyle name="Comma 2 2 2 2 7 2 2 2" xfId="3762"/>
    <cellStyle name="Comma 2 2 2 2 7 2 3" xfId="2846"/>
    <cellStyle name="Comma 2 2 2 2 7 3" xfId="1397"/>
    <cellStyle name="Comma 2 2 2 2 7 3 2" xfId="3312"/>
    <cellStyle name="Comma 2 2 2 2 7 4" xfId="2396"/>
    <cellStyle name="Comma 2 2 2 2 8" xfId="610"/>
    <cellStyle name="Comma 2 2 2 2 8 2" xfId="1654"/>
    <cellStyle name="Comma 2 2 2 2 8 2 2" xfId="3537"/>
    <cellStyle name="Comma 2 2 2 2 8 3" xfId="2621"/>
    <cellStyle name="Comma 2 2 2 2 9" xfId="1126"/>
    <cellStyle name="Comma 2 2 2 2 9 2" xfId="3073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2 2" xfId="3966"/>
    <cellStyle name="Comma 2 2 2 3 2 2 2 2 3" xfId="3050"/>
    <cellStyle name="Comma 2 2 2 3 2 2 2 3" xfId="1607"/>
    <cellStyle name="Comma 2 2 2 3 2 2 2 3 2" xfId="3516"/>
    <cellStyle name="Comma 2 2 2 3 2 2 2 4" xfId="2600"/>
    <cellStyle name="Comma 2 2 2 3 2 2 3" xfId="820"/>
    <cellStyle name="Comma 2 2 2 3 2 2 3 2" xfId="1864"/>
    <cellStyle name="Comma 2 2 2 3 2 2 3 2 2" xfId="3741"/>
    <cellStyle name="Comma 2 2 2 3 2 2 3 3" xfId="2825"/>
    <cellStyle name="Comma 2 2 2 3 2 2 4" xfId="1349"/>
    <cellStyle name="Comma 2 2 2 3 2 2 4 2" xfId="3290"/>
    <cellStyle name="Comma 2 2 2 3 2 2 5" xfId="2374"/>
    <cellStyle name="Comma 2 2 2 3 2 3" xfId="455"/>
    <cellStyle name="Comma 2 2 2 3 2 3 2" xfId="969"/>
    <cellStyle name="Comma 2 2 2 3 2 3 2 2" xfId="2013"/>
    <cellStyle name="Comma 2 2 2 3 2 3 2 2 2" xfId="3858"/>
    <cellStyle name="Comma 2 2 2 3 2 3 2 3" xfId="2942"/>
    <cellStyle name="Comma 2 2 2 3 2 3 3" xfId="1499"/>
    <cellStyle name="Comma 2 2 2 3 2 3 3 2" xfId="3408"/>
    <cellStyle name="Comma 2 2 2 3 2 3 4" xfId="2492"/>
    <cellStyle name="Comma 2 2 2 3 2 4" xfId="712"/>
    <cellStyle name="Comma 2 2 2 3 2 4 2" xfId="1756"/>
    <cellStyle name="Comma 2 2 2 3 2 4 2 2" xfId="3633"/>
    <cellStyle name="Comma 2 2 2 3 2 4 3" xfId="2717"/>
    <cellStyle name="Comma 2 2 2 3 2 5" xfId="1235"/>
    <cellStyle name="Comma 2 2 2 3 2 5 2" xfId="3176"/>
    <cellStyle name="Comma 2 2 2 3 2 6" xfId="2260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2 2" xfId="3930"/>
    <cellStyle name="Comma 2 2 2 3 3 2 2 2 3" xfId="3014"/>
    <cellStyle name="Comma 2 2 2 3 3 2 2 3" xfId="1571"/>
    <cellStyle name="Comma 2 2 2 3 3 2 2 3 2" xfId="3480"/>
    <cellStyle name="Comma 2 2 2 3 3 2 2 4" xfId="2564"/>
    <cellStyle name="Comma 2 2 2 3 3 2 3" xfId="784"/>
    <cellStyle name="Comma 2 2 2 3 3 2 3 2" xfId="1828"/>
    <cellStyle name="Comma 2 2 2 3 3 2 3 2 2" xfId="3705"/>
    <cellStyle name="Comma 2 2 2 3 3 2 3 3" xfId="2789"/>
    <cellStyle name="Comma 2 2 2 3 3 2 4" xfId="1311"/>
    <cellStyle name="Comma 2 2 2 3 3 2 4 2" xfId="3252"/>
    <cellStyle name="Comma 2 2 2 3 3 2 5" xfId="2336"/>
    <cellStyle name="Comma 2 2 2 3 3 3" xfId="419"/>
    <cellStyle name="Comma 2 2 2 3 3 3 2" xfId="933"/>
    <cellStyle name="Comma 2 2 2 3 3 3 2 2" xfId="1977"/>
    <cellStyle name="Comma 2 2 2 3 3 3 2 2 2" xfId="3822"/>
    <cellStyle name="Comma 2 2 2 3 3 3 2 3" xfId="2906"/>
    <cellStyle name="Comma 2 2 2 3 3 3 3" xfId="1463"/>
    <cellStyle name="Comma 2 2 2 3 3 3 3 2" xfId="3372"/>
    <cellStyle name="Comma 2 2 2 3 3 3 4" xfId="2456"/>
    <cellStyle name="Comma 2 2 2 3 3 4" xfId="676"/>
    <cellStyle name="Comma 2 2 2 3 3 4 2" xfId="1720"/>
    <cellStyle name="Comma 2 2 2 3 3 4 2 2" xfId="3597"/>
    <cellStyle name="Comma 2 2 2 3 3 4 3" xfId="2681"/>
    <cellStyle name="Comma 2 2 2 3 3 5" xfId="1197"/>
    <cellStyle name="Comma 2 2 2 3 3 5 2" xfId="3138"/>
    <cellStyle name="Comma 2 2 2 3 3 6" xfId="2222"/>
    <cellStyle name="Comma 2 2 2 3 4" xfId="222"/>
    <cellStyle name="Comma 2 2 2 3 4 2" xfId="491"/>
    <cellStyle name="Comma 2 2 2 3 4 2 2" xfId="1005"/>
    <cellStyle name="Comma 2 2 2 3 4 2 2 2" xfId="2049"/>
    <cellStyle name="Comma 2 2 2 3 4 2 2 2 2" xfId="3894"/>
    <cellStyle name="Comma 2 2 2 3 4 2 2 3" xfId="2978"/>
    <cellStyle name="Comma 2 2 2 3 4 2 3" xfId="1535"/>
    <cellStyle name="Comma 2 2 2 3 4 2 3 2" xfId="3444"/>
    <cellStyle name="Comma 2 2 2 3 4 2 4" xfId="2528"/>
    <cellStyle name="Comma 2 2 2 3 4 3" xfId="748"/>
    <cellStyle name="Comma 2 2 2 3 4 3 2" xfId="1792"/>
    <cellStyle name="Comma 2 2 2 3 4 3 2 2" xfId="3669"/>
    <cellStyle name="Comma 2 2 2 3 4 3 3" xfId="2753"/>
    <cellStyle name="Comma 2 2 2 3 4 4" xfId="1273"/>
    <cellStyle name="Comma 2 2 2 3 4 4 2" xfId="3214"/>
    <cellStyle name="Comma 2 2 2 3 4 5" xfId="2298"/>
    <cellStyle name="Comma 2 2 2 3 5" xfId="383"/>
    <cellStyle name="Comma 2 2 2 3 5 2" xfId="897"/>
    <cellStyle name="Comma 2 2 2 3 5 2 2" xfId="1941"/>
    <cellStyle name="Comma 2 2 2 3 5 2 2 2" xfId="3786"/>
    <cellStyle name="Comma 2 2 2 3 5 2 3" xfId="2870"/>
    <cellStyle name="Comma 2 2 2 3 5 3" xfId="1427"/>
    <cellStyle name="Comma 2 2 2 3 5 3 2" xfId="3336"/>
    <cellStyle name="Comma 2 2 2 3 5 4" xfId="2420"/>
    <cellStyle name="Comma 2 2 2 3 6" xfId="640"/>
    <cellStyle name="Comma 2 2 2 3 6 2" xfId="1684"/>
    <cellStyle name="Comma 2 2 2 3 6 2 2" xfId="3561"/>
    <cellStyle name="Comma 2 2 2 3 6 3" xfId="2645"/>
    <cellStyle name="Comma 2 2 2 3 7" xfId="1159"/>
    <cellStyle name="Comma 2 2 2 3 7 2" xfId="3100"/>
    <cellStyle name="Comma 2 2 2 3 8" xfId="2184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2 2" xfId="3948"/>
    <cellStyle name="Comma 2 2 2 4 2 2 2 3" xfId="3032"/>
    <cellStyle name="Comma 2 2 2 4 2 2 3" xfId="1589"/>
    <cellStyle name="Comma 2 2 2 4 2 2 3 2" xfId="3498"/>
    <cellStyle name="Comma 2 2 2 4 2 2 4" xfId="2582"/>
    <cellStyle name="Comma 2 2 2 4 2 3" xfId="802"/>
    <cellStyle name="Comma 2 2 2 4 2 3 2" xfId="1846"/>
    <cellStyle name="Comma 2 2 2 4 2 3 2 2" xfId="3723"/>
    <cellStyle name="Comma 2 2 2 4 2 3 3" xfId="2807"/>
    <cellStyle name="Comma 2 2 2 4 2 4" xfId="1330"/>
    <cellStyle name="Comma 2 2 2 4 2 4 2" xfId="3271"/>
    <cellStyle name="Comma 2 2 2 4 2 5" xfId="2355"/>
    <cellStyle name="Comma 2 2 2 4 3" xfId="437"/>
    <cellStyle name="Comma 2 2 2 4 3 2" xfId="951"/>
    <cellStyle name="Comma 2 2 2 4 3 2 2" xfId="1995"/>
    <cellStyle name="Comma 2 2 2 4 3 2 2 2" xfId="3840"/>
    <cellStyle name="Comma 2 2 2 4 3 2 3" xfId="2924"/>
    <cellStyle name="Comma 2 2 2 4 3 3" xfId="1481"/>
    <cellStyle name="Comma 2 2 2 4 3 3 2" xfId="3390"/>
    <cellStyle name="Comma 2 2 2 4 3 4" xfId="2474"/>
    <cellStyle name="Comma 2 2 2 4 4" xfId="694"/>
    <cellStyle name="Comma 2 2 2 4 4 2" xfId="1738"/>
    <cellStyle name="Comma 2 2 2 4 4 2 2" xfId="3615"/>
    <cellStyle name="Comma 2 2 2 4 4 3" xfId="2699"/>
    <cellStyle name="Comma 2 2 2 4 5" xfId="1216"/>
    <cellStyle name="Comma 2 2 2 4 5 2" xfId="3157"/>
    <cellStyle name="Comma 2 2 2 4 6" xfId="2241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2 2" xfId="3912"/>
    <cellStyle name="Comma 2 2 2 5 2 2 2 3" xfId="2996"/>
    <cellStyle name="Comma 2 2 2 5 2 2 3" xfId="1553"/>
    <cellStyle name="Comma 2 2 2 5 2 2 3 2" xfId="3462"/>
    <cellStyle name="Comma 2 2 2 5 2 2 4" xfId="2546"/>
    <cellStyle name="Comma 2 2 2 5 2 3" xfId="766"/>
    <cellStyle name="Comma 2 2 2 5 2 3 2" xfId="1810"/>
    <cellStyle name="Comma 2 2 2 5 2 3 2 2" xfId="3687"/>
    <cellStyle name="Comma 2 2 2 5 2 3 3" xfId="2771"/>
    <cellStyle name="Comma 2 2 2 5 2 4" xfId="1292"/>
    <cellStyle name="Comma 2 2 2 5 2 4 2" xfId="3233"/>
    <cellStyle name="Comma 2 2 2 5 2 5" xfId="2317"/>
    <cellStyle name="Comma 2 2 2 5 3" xfId="401"/>
    <cellStyle name="Comma 2 2 2 5 3 2" xfId="915"/>
    <cellStyle name="Comma 2 2 2 5 3 2 2" xfId="1959"/>
    <cellStyle name="Comma 2 2 2 5 3 2 2 2" xfId="3804"/>
    <cellStyle name="Comma 2 2 2 5 3 2 3" xfId="2888"/>
    <cellStyle name="Comma 2 2 2 5 3 3" xfId="1445"/>
    <cellStyle name="Comma 2 2 2 5 3 3 2" xfId="3354"/>
    <cellStyle name="Comma 2 2 2 5 3 4" xfId="2438"/>
    <cellStyle name="Comma 2 2 2 5 4" xfId="658"/>
    <cellStyle name="Comma 2 2 2 5 4 2" xfId="1702"/>
    <cellStyle name="Comma 2 2 2 5 4 2 2" xfId="3579"/>
    <cellStyle name="Comma 2 2 2 5 4 3" xfId="2663"/>
    <cellStyle name="Comma 2 2 2 5 5" xfId="1178"/>
    <cellStyle name="Comma 2 2 2 5 5 2" xfId="3119"/>
    <cellStyle name="Comma 2 2 2 5 6" xfId="2203"/>
    <cellStyle name="Comma 2 2 2 6" xfId="202"/>
    <cellStyle name="Comma 2 2 2 6 2" xfId="473"/>
    <cellStyle name="Comma 2 2 2 6 2 2" xfId="987"/>
    <cellStyle name="Comma 2 2 2 6 2 2 2" xfId="2031"/>
    <cellStyle name="Comma 2 2 2 6 2 2 2 2" xfId="3876"/>
    <cellStyle name="Comma 2 2 2 6 2 2 3" xfId="2960"/>
    <cellStyle name="Comma 2 2 2 6 2 3" xfId="1517"/>
    <cellStyle name="Comma 2 2 2 6 2 3 2" xfId="3426"/>
    <cellStyle name="Comma 2 2 2 6 2 4" xfId="2510"/>
    <cellStyle name="Comma 2 2 2 6 3" xfId="730"/>
    <cellStyle name="Comma 2 2 2 6 3 2" xfId="1774"/>
    <cellStyle name="Comma 2 2 2 6 3 2 2" xfId="3651"/>
    <cellStyle name="Comma 2 2 2 6 3 3" xfId="2735"/>
    <cellStyle name="Comma 2 2 2 6 4" xfId="1254"/>
    <cellStyle name="Comma 2 2 2 6 4 2" xfId="3195"/>
    <cellStyle name="Comma 2 2 2 6 5" xfId="2279"/>
    <cellStyle name="Comma 2 2 2 7" xfId="76"/>
    <cellStyle name="Comma 2 2 2 7 2" xfId="363"/>
    <cellStyle name="Comma 2 2 2 7 2 2" xfId="877"/>
    <cellStyle name="Comma 2 2 2 7 2 2 2" xfId="1921"/>
    <cellStyle name="Comma 2 2 2 7 2 2 2 2" xfId="3768"/>
    <cellStyle name="Comma 2 2 2 7 2 2 3" xfId="2852"/>
    <cellStyle name="Comma 2 2 2 7 2 3" xfId="1407"/>
    <cellStyle name="Comma 2 2 2 7 2 3 2" xfId="3318"/>
    <cellStyle name="Comma 2 2 2 7 2 4" xfId="2402"/>
    <cellStyle name="Comma 2 2 2 7 3" xfId="620"/>
    <cellStyle name="Comma 2 2 2 7 3 2" xfId="1664"/>
    <cellStyle name="Comma 2 2 2 7 3 2 2" xfId="3543"/>
    <cellStyle name="Comma 2 2 2 7 3 3" xfId="2627"/>
    <cellStyle name="Comma 2 2 2 7 4" xfId="1136"/>
    <cellStyle name="Comma 2 2 2 7 4 2" xfId="3079"/>
    <cellStyle name="Comma 2 2 2 7 5" xfId="2163"/>
    <cellStyle name="Comma 2 2 2 8" xfId="340"/>
    <cellStyle name="Comma 2 2 2 8 2" xfId="854"/>
    <cellStyle name="Comma 2 2 2 8 2 2" xfId="1898"/>
    <cellStyle name="Comma 2 2 2 8 2 2 2" xfId="3757"/>
    <cellStyle name="Comma 2 2 2 8 2 3" xfId="2841"/>
    <cellStyle name="Comma 2 2 2 8 3" xfId="1384"/>
    <cellStyle name="Comma 2 2 2 8 3 2" xfId="3307"/>
    <cellStyle name="Comma 2 2 2 8 4" xfId="2391"/>
    <cellStyle name="Comma 2 2 2 9" xfId="597"/>
    <cellStyle name="Comma 2 2 2 9 2" xfId="1641"/>
    <cellStyle name="Comma 2 2 2 9 2 2" xfId="3532"/>
    <cellStyle name="Comma 2 2 2 9 3" xfId="2616"/>
    <cellStyle name="Comma 2 2 3" xfId="61"/>
    <cellStyle name="Comma 2 2 3 10" xfId="1121"/>
    <cellStyle name="Comma 2 2 3 10 2" xfId="3071"/>
    <cellStyle name="Comma 2 2 3 11" xfId="2155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2 2" xfId="3978"/>
    <cellStyle name="Comma 2 2 3 2 2 2 2 2 2 3" xfId="3062"/>
    <cellStyle name="Comma 2 2 3 2 2 2 2 2 3" xfId="1619"/>
    <cellStyle name="Comma 2 2 3 2 2 2 2 2 3 2" xfId="3528"/>
    <cellStyle name="Comma 2 2 3 2 2 2 2 2 4" xfId="2612"/>
    <cellStyle name="Comma 2 2 3 2 2 2 2 3" xfId="832"/>
    <cellStyle name="Comma 2 2 3 2 2 2 2 3 2" xfId="1876"/>
    <cellStyle name="Comma 2 2 3 2 2 2 2 3 2 2" xfId="3753"/>
    <cellStyle name="Comma 2 2 3 2 2 2 2 3 3" xfId="2837"/>
    <cellStyle name="Comma 2 2 3 2 2 2 2 4" xfId="1362"/>
    <cellStyle name="Comma 2 2 3 2 2 2 2 4 2" xfId="3303"/>
    <cellStyle name="Comma 2 2 3 2 2 2 2 5" xfId="2387"/>
    <cellStyle name="Comma 2 2 3 2 2 2 3" xfId="467"/>
    <cellStyle name="Comma 2 2 3 2 2 2 3 2" xfId="981"/>
    <cellStyle name="Comma 2 2 3 2 2 2 3 2 2" xfId="2025"/>
    <cellStyle name="Comma 2 2 3 2 2 2 3 2 2 2" xfId="3870"/>
    <cellStyle name="Comma 2 2 3 2 2 2 3 2 3" xfId="2954"/>
    <cellStyle name="Comma 2 2 3 2 2 2 3 3" xfId="1511"/>
    <cellStyle name="Comma 2 2 3 2 2 2 3 3 2" xfId="3420"/>
    <cellStyle name="Comma 2 2 3 2 2 2 3 4" xfId="2504"/>
    <cellStyle name="Comma 2 2 3 2 2 2 4" xfId="724"/>
    <cellStyle name="Comma 2 2 3 2 2 2 4 2" xfId="1768"/>
    <cellStyle name="Comma 2 2 3 2 2 2 4 2 2" xfId="3645"/>
    <cellStyle name="Comma 2 2 3 2 2 2 4 3" xfId="2729"/>
    <cellStyle name="Comma 2 2 3 2 2 2 5" xfId="1248"/>
    <cellStyle name="Comma 2 2 3 2 2 2 5 2" xfId="3189"/>
    <cellStyle name="Comma 2 2 3 2 2 2 6" xfId="2273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2 2" xfId="3942"/>
    <cellStyle name="Comma 2 2 3 2 2 3 2 2 2 3" xfId="3026"/>
    <cellStyle name="Comma 2 2 3 2 2 3 2 2 3" xfId="1583"/>
    <cellStyle name="Comma 2 2 3 2 2 3 2 2 3 2" xfId="3492"/>
    <cellStyle name="Comma 2 2 3 2 2 3 2 2 4" xfId="2576"/>
    <cellStyle name="Comma 2 2 3 2 2 3 2 3" xfId="796"/>
    <cellStyle name="Comma 2 2 3 2 2 3 2 3 2" xfId="1840"/>
    <cellStyle name="Comma 2 2 3 2 2 3 2 3 2 2" xfId="3717"/>
    <cellStyle name="Comma 2 2 3 2 2 3 2 3 3" xfId="2801"/>
    <cellStyle name="Comma 2 2 3 2 2 3 2 4" xfId="1324"/>
    <cellStyle name="Comma 2 2 3 2 2 3 2 4 2" xfId="3265"/>
    <cellStyle name="Comma 2 2 3 2 2 3 2 5" xfId="2349"/>
    <cellStyle name="Comma 2 2 3 2 2 3 3" xfId="431"/>
    <cellStyle name="Comma 2 2 3 2 2 3 3 2" xfId="945"/>
    <cellStyle name="Comma 2 2 3 2 2 3 3 2 2" xfId="1989"/>
    <cellStyle name="Comma 2 2 3 2 2 3 3 2 2 2" xfId="3834"/>
    <cellStyle name="Comma 2 2 3 2 2 3 3 2 3" xfId="2918"/>
    <cellStyle name="Comma 2 2 3 2 2 3 3 3" xfId="1475"/>
    <cellStyle name="Comma 2 2 3 2 2 3 3 3 2" xfId="3384"/>
    <cellStyle name="Comma 2 2 3 2 2 3 3 4" xfId="2468"/>
    <cellStyle name="Comma 2 2 3 2 2 3 4" xfId="688"/>
    <cellStyle name="Comma 2 2 3 2 2 3 4 2" xfId="1732"/>
    <cellStyle name="Comma 2 2 3 2 2 3 4 2 2" xfId="3609"/>
    <cellStyle name="Comma 2 2 3 2 2 3 4 3" xfId="2693"/>
    <cellStyle name="Comma 2 2 3 2 2 3 5" xfId="1210"/>
    <cellStyle name="Comma 2 2 3 2 2 3 5 2" xfId="3151"/>
    <cellStyle name="Comma 2 2 3 2 2 3 6" xfId="2235"/>
    <cellStyle name="Comma 2 2 3 2 2 4" xfId="235"/>
    <cellStyle name="Comma 2 2 3 2 2 4 2" xfId="503"/>
    <cellStyle name="Comma 2 2 3 2 2 4 2 2" xfId="1017"/>
    <cellStyle name="Comma 2 2 3 2 2 4 2 2 2" xfId="2061"/>
    <cellStyle name="Comma 2 2 3 2 2 4 2 2 2 2" xfId="3906"/>
    <cellStyle name="Comma 2 2 3 2 2 4 2 2 3" xfId="2990"/>
    <cellStyle name="Comma 2 2 3 2 2 4 2 3" xfId="1547"/>
    <cellStyle name="Comma 2 2 3 2 2 4 2 3 2" xfId="3456"/>
    <cellStyle name="Comma 2 2 3 2 2 4 2 4" xfId="2540"/>
    <cellStyle name="Comma 2 2 3 2 2 4 3" xfId="760"/>
    <cellStyle name="Comma 2 2 3 2 2 4 3 2" xfId="1804"/>
    <cellStyle name="Comma 2 2 3 2 2 4 3 2 2" xfId="3681"/>
    <cellStyle name="Comma 2 2 3 2 2 4 3 3" xfId="2765"/>
    <cellStyle name="Comma 2 2 3 2 2 4 4" xfId="1286"/>
    <cellStyle name="Comma 2 2 3 2 2 4 4 2" xfId="3227"/>
    <cellStyle name="Comma 2 2 3 2 2 4 5" xfId="2311"/>
    <cellStyle name="Comma 2 2 3 2 2 5" xfId="395"/>
    <cellStyle name="Comma 2 2 3 2 2 5 2" xfId="909"/>
    <cellStyle name="Comma 2 2 3 2 2 5 2 2" xfId="1953"/>
    <cellStyle name="Comma 2 2 3 2 2 5 2 2 2" xfId="3798"/>
    <cellStyle name="Comma 2 2 3 2 2 5 2 3" xfId="2882"/>
    <cellStyle name="Comma 2 2 3 2 2 5 3" xfId="1439"/>
    <cellStyle name="Comma 2 2 3 2 2 5 3 2" xfId="3348"/>
    <cellStyle name="Comma 2 2 3 2 2 5 4" xfId="2432"/>
    <cellStyle name="Comma 2 2 3 2 2 6" xfId="652"/>
    <cellStyle name="Comma 2 2 3 2 2 6 2" xfId="1696"/>
    <cellStyle name="Comma 2 2 3 2 2 6 2 2" xfId="3573"/>
    <cellStyle name="Comma 2 2 3 2 2 6 3" xfId="2657"/>
    <cellStyle name="Comma 2 2 3 2 2 7" xfId="1172"/>
    <cellStyle name="Comma 2 2 3 2 2 7 2" xfId="3113"/>
    <cellStyle name="Comma 2 2 3 2 2 8" xfId="2197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2 2" xfId="3960"/>
    <cellStyle name="Comma 2 2 3 2 3 2 2 2 3" xfId="3044"/>
    <cellStyle name="Comma 2 2 3 2 3 2 2 3" xfId="1601"/>
    <cellStyle name="Comma 2 2 3 2 3 2 2 3 2" xfId="3510"/>
    <cellStyle name="Comma 2 2 3 2 3 2 2 4" xfId="2594"/>
    <cellStyle name="Comma 2 2 3 2 3 2 3" xfId="814"/>
    <cellStyle name="Comma 2 2 3 2 3 2 3 2" xfId="1858"/>
    <cellStyle name="Comma 2 2 3 2 3 2 3 2 2" xfId="3735"/>
    <cellStyle name="Comma 2 2 3 2 3 2 3 3" xfId="2819"/>
    <cellStyle name="Comma 2 2 3 2 3 2 4" xfId="1343"/>
    <cellStyle name="Comma 2 2 3 2 3 2 4 2" xfId="3284"/>
    <cellStyle name="Comma 2 2 3 2 3 2 5" xfId="2368"/>
    <cellStyle name="Comma 2 2 3 2 3 3" xfId="449"/>
    <cellStyle name="Comma 2 2 3 2 3 3 2" xfId="963"/>
    <cellStyle name="Comma 2 2 3 2 3 3 2 2" xfId="2007"/>
    <cellStyle name="Comma 2 2 3 2 3 3 2 2 2" xfId="3852"/>
    <cellStyle name="Comma 2 2 3 2 3 3 2 3" xfId="2936"/>
    <cellStyle name="Comma 2 2 3 2 3 3 3" xfId="1493"/>
    <cellStyle name="Comma 2 2 3 2 3 3 3 2" xfId="3402"/>
    <cellStyle name="Comma 2 2 3 2 3 3 4" xfId="2486"/>
    <cellStyle name="Comma 2 2 3 2 3 4" xfId="706"/>
    <cellStyle name="Comma 2 2 3 2 3 4 2" xfId="1750"/>
    <cellStyle name="Comma 2 2 3 2 3 4 2 2" xfId="3627"/>
    <cellStyle name="Comma 2 2 3 2 3 4 3" xfId="2711"/>
    <cellStyle name="Comma 2 2 3 2 3 5" xfId="1229"/>
    <cellStyle name="Comma 2 2 3 2 3 5 2" xfId="3170"/>
    <cellStyle name="Comma 2 2 3 2 3 6" xfId="2254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2 2" xfId="3924"/>
    <cellStyle name="Comma 2 2 3 2 4 2 2 2 3" xfId="3008"/>
    <cellStyle name="Comma 2 2 3 2 4 2 2 3" xfId="1565"/>
    <cellStyle name="Comma 2 2 3 2 4 2 2 3 2" xfId="3474"/>
    <cellStyle name="Comma 2 2 3 2 4 2 2 4" xfId="2558"/>
    <cellStyle name="Comma 2 2 3 2 4 2 3" xfId="778"/>
    <cellStyle name="Comma 2 2 3 2 4 2 3 2" xfId="1822"/>
    <cellStyle name="Comma 2 2 3 2 4 2 3 2 2" xfId="3699"/>
    <cellStyle name="Comma 2 2 3 2 4 2 3 3" xfId="2783"/>
    <cellStyle name="Comma 2 2 3 2 4 2 4" xfId="1305"/>
    <cellStyle name="Comma 2 2 3 2 4 2 4 2" xfId="3246"/>
    <cellStyle name="Comma 2 2 3 2 4 2 5" xfId="2330"/>
    <cellStyle name="Comma 2 2 3 2 4 3" xfId="413"/>
    <cellStyle name="Comma 2 2 3 2 4 3 2" xfId="927"/>
    <cellStyle name="Comma 2 2 3 2 4 3 2 2" xfId="1971"/>
    <cellStyle name="Comma 2 2 3 2 4 3 2 2 2" xfId="3816"/>
    <cellStyle name="Comma 2 2 3 2 4 3 2 3" xfId="2900"/>
    <cellStyle name="Comma 2 2 3 2 4 3 3" xfId="1457"/>
    <cellStyle name="Comma 2 2 3 2 4 3 3 2" xfId="3366"/>
    <cellStyle name="Comma 2 2 3 2 4 3 4" xfId="2450"/>
    <cellStyle name="Comma 2 2 3 2 4 4" xfId="670"/>
    <cellStyle name="Comma 2 2 3 2 4 4 2" xfId="1714"/>
    <cellStyle name="Comma 2 2 3 2 4 4 2 2" xfId="3591"/>
    <cellStyle name="Comma 2 2 3 2 4 4 3" xfId="2675"/>
    <cellStyle name="Comma 2 2 3 2 4 5" xfId="1191"/>
    <cellStyle name="Comma 2 2 3 2 4 5 2" xfId="3132"/>
    <cellStyle name="Comma 2 2 3 2 4 6" xfId="2216"/>
    <cellStyle name="Comma 2 2 3 2 5" xfId="215"/>
    <cellStyle name="Comma 2 2 3 2 5 2" xfId="485"/>
    <cellStyle name="Comma 2 2 3 2 5 2 2" xfId="999"/>
    <cellStyle name="Comma 2 2 3 2 5 2 2 2" xfId="2043"/>
    <cellStyle name="Comma 2 2 3 2 5 2 2 2 2" xfId="3888"/>
    <cellStyle name="Comma 2 2 3 2 5 2 2 3" xfId="2972"/>
    <cellStyle name="Comma 2 2 3 2 5 2 3" xfId="1529"/>
    <cellStyle name="Comma 2 2 3 2 5 2 3 2" xfId="3438"/>
    <cellStyle name="Comma 2 2 3 2 5 2 4" xfId="2522"/>
    <cellStyle name="Comma 2 2 3 2 5 3" xfId="742"/>
    <cellStyle name="Comma 2 2 3 2 5 3 2" xfId="1786"/>
    <cellStyle name="Comma 2 2 3 2 5 3 2 2" xfId="3663"/>
    <cellStyle name="Comma 2 2 3 2 5 3 3" xfId="2747"/>
    <cellStyle name="Comma 2 2 3 2 5 4" xfId="1267"/>
    <cellStyle name="Comma 2 2 3 2 5 4 2" xfId="3208"/>
    <cellStyle name="Comma 2 2 3 2 5 5" xfId="2292"/>
    <cellStyle name="Comma 2 2 3 2 6" xfId="377"/>
    <cellStyle name="Comma 2 2 3 2 6 2" xfId="891"/>
    <cellStyle name="Comma 2 2 3 2 6 2 2" xfId="1935"/>
    <cellStyle name="Comma 2 2 3 2 6 2 2 2" xfId="3780"/>
    <cellStyle name="Comma 2 2 3 2 6 2 3" xfId="2864"/>
    <cellStyle name="Comma 2 2 3 2 6 3" xfId="1421"/>
    <cellStyle name="Comma 2 2 3 2 6 3 2" xfId="3330"/>
    <cellStyle name="Comma 2 2 3 2 6 4" xfId="2414"/>
    <cellStyle name="Comma 2 2 3 2 7" xfId="634"/>
    <cellStyle name="Comma 2 2 3 2 7 2" xfId="1678"/>
    <cellStyle name="Comma 2 2 3 2 7 2 2" xfId="3555"/>
    <cellStyle name="Comma 2 2 3 2 7 3" xfId="2639"/>
    <cellStyle name="Comma 2 2 3 2 8" xfId="1153"/>
    <cellStyle name="Comma 2 2 3 2 8 2" xfId="3094"/>
    <cellStyle name="Comma 2 2 3 2 9" xfId="2178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2 2" xfId="3969"/>
    <cellStyle name="Comma 2 2 3 3 2 2 2 2 3" xfId="3053"/>
    <cellStyle name="Comma 2 2 3 3 2 2 2 3" xfId="1610"/>
    <cellStyle name="Comma 2 2 3 3 2 2 2 3 2" xfId="3519"/>
    <cellStyle name="Comma 2 2 3 3 2 2 2 4" xfId="2603"/>
    <cellStyle name="Comma 2 2 3 3 2 2 3" xfId="823"/>
    <cellStyle name="Comma 2 2 3 3 2 2 3 2" xfId="1867"/>
    <cellStyle name="Comma 2 2 3 3 2 2 3 2 2" xfId="3744"/>
    <cellStyle name="Comma 2 2 3 3 2 2 3 3" xfId="2828"/>
    <cellStyle name="Comma 2 2 3 3 2 2 4" xfId="1352"/>
    <cellStyle name="Comma 2 2 3 3 2 2 4 2" xfId="3293"/>
    <cellStyle name="Comma 2 2 3 3 2 2 5" xfId="2377"/>
    <cellStyle name="Comma 2 2 3 3 2 3" xfId="458"/>
    <cellStyle name="Comma 2 2 3 3 2 3 2" xfId="972"/>
    <cellStyle name="Comma 2 2 3 3 2 3 2 2" xfId="2016"/>
    <cellStyle name="Comma 2 2 3 3 2 3 2 2 2" xfId="3861"/>
    <cellStyle name="Comma 2 2 3 3 2 3 2 3" xfId="2945"/>
    <cellStyle name="Comma 2 2 3 3 2 3 3" xfId="1502"/>
    <cellStyle name="Comma 2 2 3 3 2 3 3 2" xfId="3411"/>
    <cellStyle name="Comma 2 2 3 3 2 3 4" xfId="2495"/>
    <cellStyle name="Comma 2 2 3 3 2 4" xfId="715"/>
    <cellStyle name="Comma 2 2 3 3 2 4 2" xfId="1759"/>
    <cellStyle name="Comma 2 2 3 3 2 4 2 2" xfId="3636"/>
    <cellStyle name="Comma 2 2 3 3 2 4 3" xfId="2720"/>
    <cellStyle name="Comma 2 2 3 3 2 5" xfId="1238"/>
    <cellStyle name="Comma 2 2 3 3 2 5 2" xfId="3179"/>
    <cellStyle name="Comma 2 2 3 3 2 6" xfId="2263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2 2" xfId="3933"/>
    <cellStyle name="Comma 2 2 3 3 3 2 2 2 3" xfId="3017"/>
    <cellStyle name="Comma 2 2 3 3 3 2 2 3" xfId="1574"/>
    <cellStyle name="Comma 2 2 3 3 3 2 2 3 2" xfId="3483"/>
    <cellStyle name="Comma 2 2 3 3 3 2 2 4" xfId="2567"/>
    <cellStyle name="Comma 2 2 3 3 3 2 3" xfId="787"/>
    <cellStyle name="Comma 2 2 3 3 3 2 3 2" xfId="1831"/>
    <cellStyle name="Comma 2 2 3 3 3 2 3 2 2" xfId="3708"/>
    <cellStyle name="Comma 2 2 3 3 3 2 3 3" xfId="2792"/>
    <cellStyle name="Comma 2 2 3 3 3 2 4" xfId="1314"/>
    <cellStyle name="Comma 2 2 3 3 3 2 4 2" xfId="3255"/>
    <cellStyle name="Comma 2 2 3 3 3 2 5" xfId="2339"/>
    <cellStyle name="Comma 2 2 3 3 3 3" xfId="422"/>
    <cellStyle name="Comma 2 2 3 3 3 3 2" xfId="936"/>
    <cellStyle name="Comma 2 2 3 3 3 3 2 2" xfId="1980"/>
    <cellStyle name="Comma 2 2 3 3 3 3 2 2 2" xfId="3825"/>
    <cellStyle name="Comma 2 2 3 3 3 3 2 3" xfId="2909"/>
    <cellStyle name="Comma 2 2 3 3 3 3 3" xfId="1466"/>
    <cellStyle name="Comma 2 2 3 3 3 3 3 2" xfId="3375"/>
    <cellStyle name="Comma 2 2 3 3 3 3 4" xfId="2459"/>
    <cellStyle name="Comma 2 2 3 3 3 4" xfId="679"/>
    <cellStyle name="Comma 2 2 3 3 3 4 2" xfId="1723"/>
    <cellStyle name="Comma 2 2 3 3 3 4 2 2" xfId="3600"/>
    <cellStyle name="Comma 2 2 3 3 3 4 3" xfId="2684"/>
    <cellStyle name="Comma 2 2 3 3 3 5" xfId="1200"/>
    <cellStyle name="Comma 2 2 3 3 3 5 2" xfId="3141"/>
    <cellStyle name="Comma 2 2 3 3 3 6" xfId="2225"/>
    <cellStyle name="Comma 2 2 3 3 4" xfId="225"/>
    <cellStyle name="Comma 2 2 3 3 4 2" xfId="494"/>
    <cellStyle name="Comma 2 2 3 3 4 2 2" xfId="1008"/>
    <cellStyle name="Comma 2 2 3 3 4 2 2 2" xfId="2052"/>
    <cellStyle name="Comma 2 2 3 3 4 2 2 2 2" xfId="3897"/>
    <cellStyle name="Comma 2 2 3 3 4 2 2 3" xfId="2981"/>
    <cellStyle name="Comma 2 2 3 3 4 2 3" xfId="1538"/>
    <cellStyle name="Comma 2 2 3 3 4 2 3 2" xfId="3447"/>
    <cellStyle name="Comma 2 2 3 3 4 2 4" xfId="2531"/>
    <cellStyle name="Comma 2 2 3 3 4 3" xfId="751"/>
    <cellStyle name="Comma 2 2 3 3 4 3 2" xfId="1795"/>
    <cellStyle name="Comma 2 2 3 3 4 3 2 2" xfId="3672"/>
    <cellStyle name="Comma 2 2 3 3 4 3 3" xfId="2756"/>
    <cellStyle name="Comma 2 2 3 3 4 4" xfId="1276"/>
    <cellStyle name="Comma 2 2 3 3 4 4 2" xfId="3217"/>
    <cellStyle name="Comma 2 2 3 3 4 5" xfId="2301"/>
    <cellStyle name="Comma 2 2 3 3 5" xfId="386"/>
    <cellStyle name="Comma 2 2 3 3 5 2" xfId="900"/>
    <cellStyle name="Comma 2 2 3 3 5 2 2" xfId="1944"/>
    <cellStyle name="Comma 2 2 3 3 5 2 2 2" xfId="3789"/>
    <cellStyle name="Comma 2 2 3 3 5 2 3" xfId="2873"/>
    <cellStyle name="Comma 2 2 3 3 5 3" xfId="1430"/>
    <cellStyle name="Comma 2 2 3 3 5 3 2" xfId="3339"/>
    <cellStyle name="Comma 2 2 3 3 5 4" xfId="2423"/>
    <cellStyle name="Comma 2 2 3 3 6" xfId="643"/>
    <cellStyle name="Comma 2 2 3 3 6 2" xfId="1687"/>
    <cellStyle name="Comma 2 2 3 3 6 2 2" xfId="3564"/>
    <cellStyle name="Comma 2 2 3 3 6 3" xfId="2648"/>
    <cellStyle name="Comma 2 2 3 3 7" xfId="1162"/>
    <cellStyle name="Comma 2 2 3 3 7 2" xfId="3103"/>
    <cellStyle name="Comma 2 2 3 3 8" xfId="2187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2 2" xfId="3951"/>
    <cellStyle name="Comma 2 2 3 4 2 2 2 3" xfId="3035"/>
    <cellStyle name="Comma 2 2 3 4 2 2 3" xfId="1592"/>
    <cellStyle name="Comma 2 2 3 4 2 2 3 2" xfId="3501"/>
    <cellStyle name="Comma 2 2 3 4 2 2 4" xfId="2585"/>
    <cellStyle name="Comma 2 2 3 4 2 3" xfId="805"/>
    <cellStyle name="Comma 2 2 3 4 2 3 2" xfId="1849"/>
    <cellStyle name="Comma 2 2 3 4 2 3 2 2" xfId="3726"/>
    <cellStyle name="Comma 2 2 3 4 2 3 3" xfId="2810"/>
    <cellStyle name="Comma 2 2 3 4 2 4" xfId="1333"/>
    <cellStyle name="Comma 2 2 3 4 2 4 2" xfId="3274"/>
    <cellStyle name="Comma 2 2 3 4 2 5" xfId="2358"/>
    <cellStyle name="Comma 2 2 3 4 3" xfId="440"/>
    <cellStyle name="Comma 2 2 3 4 3 2" xfId="954"/>
    <cellStyle name="Comma 2 2 3 4 3 2 2" xfId="1998"/>
    <cellStyle name="Comma 2 2 3 4 3 2 2 2" xfId="3843"/>
    <cellStyle name="Comma 2 2 3 4 3 2 3" xfId="2927"/>
    <cellStyle name="Comma 2 2 3 4 3 3" xfId="1484"/>
    <cellStyle name="Comma 2 2 3 4 3 3 2" xfId="3393"/>
    <cellStyle name="Comma 2 2 3 4 3 4" xfId="2477"/>
    <cellStyle name="Comma 2 2 3 4 4" xfId="697"/>
    <cellStyle name="Comma 2 2 3 4 4 2" xfId="1741"/>
    <cellStyle name="Comma 2 2 3 4 4 2 2" xfId="3618"/>
    <cellStyle name="Comma 2 2 3 4 4 3" xfId="2702"/>
    <cellStyle name="Comma 2 2 3 4 5" xfId="1219"/>
    <cellStyle name="Comma 2 2 3 4 5 2" xfId="3160"/>
    <cellStyle name="Comma 2 2 3 4 6" xfId="2244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2 2" xfId="3915"/>
    <cellStyle name="Comma 2 2 3 5 2 2 2 3" xfId="2999"/>
    <cellStyle name="Comma 2 2 3 5 2 2 3" xfId="1556"/>
    <cellStyle name="Comma 2 2 3 5 2 2 3 2" xfId="3465"/>
    <cellStyle name="Comma 2 2 3 5 2 2 4" xfId="2549"/>
    <cellStyle name="Comma 2 2 3 5 2 3" xfId="769"/>
    <cellStyle name="Comma 2 2 3 5 2 3 2" xfId="1813"/>
    <cellStyle name="Comma 2 2 3 5 2 3 2 2" xfId="3690"/>
    <cellStyle name="Comma 2 2 3 5 2 3 3" xfId="2774"/>
    <cellStyle name="Comma 2 2 3 5 2 4" xfId="1295"/>
    <cellStyle name="Comma 2 2 3 5 2 4 2" xfId="3236"/>
    <cellStyle name="Comma 2 2 3 5 2 5" xfId="2320"/>
    <cellStyle name="Comma 2 2 3 5 3" xfId="404"/>
    <cellStyle name="Comma 2 2 3 5 3 2" xfId="918"/>
    <cellStyle name="Comma 2 2 3 5 3 2 2" xfId="1962"/>
    <cellStyle name="Comma 2 2 3 5 3 2 2 2" xfId="3807"/>
    <cellStyle name="Comma 2 2 3 5 3 2 3" xfId="2891"/>
    <cellStyle name="Comma 2 2 3 5 3 3" xfId="1448"/>
    <cellStyle name="Comma 2 2 3 5 3 3 2" xfId="3357"/>
    <cellStyle name="Comma 2 2 3 5 3 4" xfId="2441"/>
    <cellStyle name="Comma 2 2 3 5 4" xfId="661"/>
    <cellStyle name="Comma 2 2 3 5 4 2" xfId="1705"/>
    <cellStyle name="Comma 2 2 3 5 4 2 2" xfId="3582"/>
    <cellStyle name="Comma 2 2 3 5 4 3" xfId="2666"/>
    <cellStyle name="Comma 2 2 3 5 5" xfId="1181"/>
    <cellStyle name="Comma 2 2 3 5 5 2" xfId="3122"/>
    <cellStyle name="Comma 2 2 3 5 6" xfId="2206"/>
    <cellStyle name="Comma 2 2 3 6" xfId="205"/>
    <cellStyle name="Comma 2 2 3 6 2" xfId="476"/>
    <cellStyle name="Comma 2 2 3 6 2 2" xfId="990"/>
    <cellStyle name="Comma 2 2 3 6 2 2 2" xfId="2034"/>
    <cellStyle name="Comma 2 2 3 6 2 2 2 2" xfId="3879"/>
    <cellStyle name="Comma 2 2 3 6 2 2 3" xfId="2963"/>
    <cellStyle name="Comma 2 2 3 6 2 3" xfId="1520"/>
    <cellStyle name="Comma 2 2 3 6 2 3 2" xfId="3429"/>
    <cellStyle name="Comma 2 2 3 6 2 4" xfId="2513"/>
    <cellStyle name="Comma 2 2 3 6 3" xfId="733"/>
    <cellStyle name="Comma 2 2 3 6 3 2" xfId="1777"/>
    <cellStyle name="Comma 2 2 3 6 3 2 2" xfId="3654"/>
    <cellStyle name="Comma 2 2 3 6 3 3" xfId="2738"/>
    <cellStyle name="Comma 2 2 3 6 4" xfId="1257"/>
    <cellStyle name="Comma 2 2 3 6 4 2" xfId="3198"/>
    <cellStyle name="Comma 2 2 3 6 5" xfId="2282"/>
    <cellStyle name="Comma 2 2 3 7" xfId="79"/>
    <cellStyle name="Comma 2 2 3 7 2" xfId="366"/>
    <cellStyle name="Comma 2 2 3 7 2 2" xfId="880"/>
    <cellStyle name="Comma 2 2 3 7 2 2 2" xfId="1924"/>
    <cellStyle name="Comma 2 2 3 7 2 2 2 2" xfId="3771"/>
    <cellStyle name="Comma 2 2 3 7 2 2 3" xfId="2855"/>
    <cellStyle name="Comma 2 2 3 7 2 3" xfId="1410"/>
    <cellStyle name="Comma 2 2 3 7 2 3 2" xfId="3321"/>
    <cellStyle name="Comma 2 2 3 7 2 4" xfId="2405"/>
    <cellStyle name="Comma 2 2 3 7 3" xfId="623"/>
    <cellStyle name="Comma 2 2 3 7 3 2" xfId="1667"/>
    <cellStyle name="Comma 2 2 3 7 3 2 2" xfId="3546"/>
    <cellStyle name="Comma 2 2 3 7 3 3" xfId="2630"/>
    <cellStyle name="Comma 2 2 3 7 4" xfId="1139"/>
    <cellStyle name="Comma 2 2 3 7 4 2" xfId="3082"/>
    <cellStyle name="Comma 2 2 3 7 5" xfId="2166"/>
    <cellStyle name="Comma 2 2 3 8" xfId="348"/>
    <cellStyle name="Comma 2 2 3 8 2" xfId="862"/>
    <cellStyle name="Comma 2 2 3 8 2 2" xfId="1906"/>
    <cellStyle name="Comma 2 2 3 8 2 2 2" xfId="3760"/>
    <cellStyle name="Comma 2 2 3 8 2 3" xfId="2844"/>
    <cellStyle name="Comma 2 2 3 8 3" xfId="1392"/>
    <cellStyle name="Comma 2 2 3 8 3 2" xfId="3310"/>
    <cellStyle name="Comma 2 2 3 8 4" xfId="2394"/>
    <cellStyle name="Comma 2 2 3 9" xfId="605"/>
    <cellStyle name="Comma 2 2 3 9 2" xfId="1649"/>
    <cellStyle name="Comma 2 2 3 9 2 2" xfId="3535"/>
    <cellStyle name="Comma 2 2 3 9 3" xfId="261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2 2" xfId="3972"/>
    <cellStyle name="Comma 2 2 4 2 2 2 2 2 3" xfId="3056"/>
    <cellStyle name="Comma 2 2 4 2 2 2 2 3" xfId="1613"/>
    <cellStyle name="Comma 2 2 4 2 2 2 2 3 2" xfId="3522"/>
    <cellStyle name="Comma 2 2 4 2 2 2 2 4" xfId="2606"/>
    <cellStyle name="Comma 2 2 4 2 2 2 3" xfId="826"/>
    <cellStyle name="Comma 2 2 4 2 2 2 3 2" xfId="1870"/>
    <cellStyle name="Comma 2 2 4 2 2 2 3 2 2" xfId="3747"/>
    <cellStyle name="Comma 2 2 4 2 2 2 3 3" xfId="2831"/>
    <cellStyle name="Comma 2 2 4 2 2 2 4" xfId="1356"/>
    <cellStyle name="Comma 2 2 4 2 2 2 4 2" xfId="3297"/>
    <cellStyle name="Comma 2 2 4 2 2 2 5" xfId="2381"/>
    <cellStyle name="Comma 2 2 4 2 2 3" xfId="461"/>
    <cellStyle name="Comma 2 2 4 2 2 3 2" xfId="975"/>
    <cellStyle name="Comma 2 2 4 2 2 3 2 2" xfId="2019"/>
    <cellStyle name="Comma 2 2 4 2 2 3 2 2 2" xfId="3864"/>
    <cellStyle name="Comma 2 2 4 2 2 3 2 3" xfId="2948"/>
    <cellStyle name="Comma 2 2 4 2 2 3 3" xfId="1505"/>
    <cellStyle name="Comma 2 2 4 2 2 3 3 2" xfId="3414"/>
    <cellStyle name="Comma 2 2 4 2 2 3 4" xfId="2498"/>
    <cellStyle name="Comma 2 2 4 2 2 4" xfId="718"/>
    <cellStyle name="Comma 2 2 4 2 2 4 2" xfId="1762"/>
    <cellStyle name="Comma 2 2 4 2 2 4 2 2" xfId="3639"/>
    <cellStyle name="Comma 2 2 4 2 2 4 3" xfId="2723"/>
    <cellStyle name="Comma 2 2 4 2 2 5" xfId="1242"/>
    <cellStyle name="Comma 2 2 4 2 2 5 2" xfId="3183"/>
    <cellStyle name="Comma 2 2 4 2 2 6" xfId="2267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2 2" xfId="3936"/>
    <cellStyle name="Comma 2 2 4 2 3 2 2 2 3" xfId="3020"/>
    <cellStyle name="Comma 2 2 4 2 3 2 2 3" xfId="1577"/>
    <cellStyle name="Comma 2 2 4 2 3 2 2 3 2" xfId="3486"/>
    <cellStyle name="Comma 2 2 4 2 3 2 2 4" xfId="2570"/>
    <cellStyle name="Comma 2 2 4 2 3 2 3" xfId="790"/>
    <cellStyle name="Comma 2 2 4 2 3 2 3 2" xfId="1834"/>
    <cellStyle name="Comma 2 2 4 2 3 2 3 2 2" xfId="3711"/>
    <cellStyle name="Comma 2 2 4 2 3 2 3 3" xfId="2795"/>
    <cellStyle name="Comma 2 2 4 2 3 2 4" xfId="1318"/>
    <cellStyle name="Comma 2 2 4 2 3 2 4 2" xfId="3259"/>
    <cellStyle name="Comma 2 2 4 2 3 2 5" xfId="2343"/>
    <cellStyle name="Comma 2 2 4 2 3 3" xfId="425"/>
    <cellStyle name="Comma 2 2 4 2 3 3 2" xfId="939"/>
    <cellStyle name="Comma 2 2 4 2 3 3 2 2" xfId="1983"/>
    <cellStyle name="Comma 2 2 4 2 3 3 2 2 2" xfId="3828"/>
    <cellStyle name="Comma 2 2 4 2 3 3 2 3" xfId="2912"/>
    <cellStyle name="Comma 2 2 4 2 3 3 3" xfId="1469"/>
    <cellStyle name="Comma 2 2 4 2 3 3 3 2" xfId="3378"/>
    <cellStyle name="Comma 2 2 4 2 3 3 4" xfId="2462"/>
    <cellStyle name="Comma 2 2 4 2 3 4" xfId="682"/>
    <cellStyle name="Comma 2 2 4 2 3 4 2" xfId="1726"/>
    <cellStyle name="Comma 2 2 4 2 3 4 2 2" xfId="3603"/>
    <cellStyle name="Comma 2 2 4 2 3 4 3" xfId="2687"/>
    <cellStyle name="Comma 2 2 4 2 3 5" xfId="1204"/>
    <cellStyle name="Comma 2 2 4 2 3 5 2" xfId="3145"/>
    <cellStyle name="Comma 2 2 4 2 3 6" xfId="2229"/>
    <cellStyle name="Comma 2 2 4 2 4" xfId="229"/>
    <cellStyle name="Comma 2 2 4 2 4 2" xfId="497"/>
    <cellStyle name="Comma 2 2 4 2 4 2 2" xfId="1011"/>
    <cellStyle name="Comma 2 2 4 2 4 2 2 2" xfId="2055"/>
    <cellStyle name="Comma 2 2 4 2 4 2 2 2 2" xfId="3900"/>
    <cellStyle name="Comma 2 2 4 2 4 2 2 3" xfId="2984"/>
    <cellStyle name="Comma 2 2 4 2 4 2 3" xfId="1541"/>
    <cellStyle name="Comma 2 2 4 2 4 2 3 2" xfId="3450"/>
    <cellStyle name="Comma 2 2 4 2 4 2 4" xfId="2534"/>
    <cellStyle name="Comma 2 2 4 2 4 3" xfId="754"/>
    <cellStyle name="Comma 2 2 4 2 4 3 2" xfId="1798"/>
    <cellStyle name="Comma 2 2 4 2 4 3 2 2" xfId="3675"/>
    <cellStyle name="Comma 2 2 4 2 4 3 3" xfId="2759"/>
    <cellStyle name="Comma 2 2 4 2 4 4" xfId="1280"/>
    <cellStyle name="Comma 2 2 4 2 4 4 2" xfId="3221"/>
    <cellStyle name="Comma 2 2 4 2 4 5" xfId="2305"/>
    <cellStyle name="Comma 2 2 4 2 5" xfId="389"/>
    <cellStyle name="Comma 2 2 4 2 5 2" xfId="903"/>
    <cellStyle name="Comma 2 2 4 2 5 2 2" xfId="1947"/>
    <cellStyle name="Comma 2 2 4 2 5 2 2 2" xfId="3792"/>
    <cellStyle name="Comma 2 2 4 2 5 2 3" xfId="2876"/>
    <cellStyle name="Comma 2 2 4 2 5 3" xfId="1433"/>
    <cellStyle name="Comma 2 2 4 2 5 3 2" xfId="3342"/>
    <cellStyle name="Comma 2 2 4 2 5 4" xfId="2426"/>
    <cellStyle name="Comma 2 2 4 2 6" xfId="646"/>
    <cellStyle name="Comma 2 2 4 2 6 2" xfId="1690"/>
    <cellStyle name="Comma 2 2 4 2 6 2 2" xfId="3567"/>
    <cellStyle name="Comma 2 2 4 2 6 3" xfId="2651"/>
    <cellStyle name="Comma 2 2 4 2 7" xfId="1166"/>
    <cellStyle name="Comma 2 2 4 2 7 2" xfId="3107"/>
    <cellStyle name="Comma 2 2 4 2 8" xfId="2191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2 2" xfId="3954"/>
    <cellStyle name="Comma 2 2 4 3 2 2 2 3" xfId="3038"/>
    <cellStyle name="Comma 2 2 4 3 2 2 3" xfId="1595"/>
    <cellStyle name="Comma 2 2 4 3 2 2 3 2" xfId="3504"/>
    <cellStyle name="Comma 2 2 4 3 2 2 4" xfId="2588"/>
    <cellStyle name="Comma 2 2 4 3 2 3" xfId="808"/>
    <cellStyle name="Comma 2 2 4 3 2 3 2" xfId="1852"/>
    <cellStyle name="Comma 2 2 4 3 2 3 2 2" xfId="3729"/>
    <cellStyle name="Comma 2 2 4 3 2 3 3" xfId="2813"/>
    <cellStyle name="Comma 2 2 4 3 2 4" xfId="1337"/>
    <cellStyle name="Comma 2 2 4 3 2 4 2" xfId="3278"/>
    <cellStyle name="Comma 2 2 4 3 2 5" xfId="2362"/>
    <cellStyle name="Comma 2 2 4 3 3" xfId="443"/>
    <cellStyle name="Comma 2 2 4 3 3 2" xfId="957"/>
    <cellStyle name="Comma 2 2 4 3 3 2 2" xfId="2001"/>
    <cellStyle name="Comma 2 2 4 3 3 2 2 2" xfId="3846"/>
    <cellStyle name="Comma 2 2 4 3 3 2 3" xfId="2930"/>
    <cellStyle name="Comma 2 2 4 3 3 3" xfId="1487"/>
    <cellStyle name="Comma 2 2 4 3 3 3 2" xfId="3396"/>
    <cellStyle name="Comma 2 2 4 3 3 4" xfId="2480"/>
    <cellStyle name="Comma 2 2 4 3 4" xfId="700"/>
    <cellStyle name="Comma 2 2 4 3 4 2" xfId="1744"/>
    <cellStyle name="Comma 2 2 4 3 4 2 2" xfId="3621"/>
    <cellStyle name="Comma 2 2 4 3 4 3" xfId="2705"/>
    <cellStyle name="Comma 2 2 4 3 5" xfId="1223"/>
    <cellStyle name="Comma 2 2 4 3 5 2" xfId="3164"/>
    <cellStyle name="Comma 2 2 4 3 6" xfId="2248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2 2" xfId="3918"/>
    <cellStyle name="Comma 2 2 4 4 2 2 2 3" xfId="3002"/>
    <cellStyle name="Comma 2 2 4 4 2 2 3" xfId="1559"/>
    <cellStyle name="Comma 2 2 4 4 2 2 3 2" xfId="3468"/>
    <cellStyle name="Comma 2 2 4 4 2 2 4" xfId="2552"/>
    <cellStyle name="Comma 2 2 4 4 2 3" xfId="772"/>
    <cellStyle name="Comma 2 2 4 4 2 3 2" xfId="1816"/>
    <cellStyle name="Comma 2 2 4 4 2 3 2 2" xfId="3693"/>
    <cellStyle name="Comma 2 2 4 4 2 3 3" xfId="2777"/>
    <cellStyle name="Comma 2 2 4 4 2 4" xfId="1299"/>
    <cellStyle name="Comma 2 2 4 4 2 4 2" xfId="3240"/>
    <cellStyle name="Comma 2 2 4 4 2 5" xfId="2324"/>
    <cellStyle name="Comma 2 2 4 4 3" xfId="407"/>
    <cellStyle name="Comma 2 2 4 4 3 2" xfId="921"/>
    <cellStyle name="Comma 2 2 4 4 3 2 2" xfId="1965"/>
    <cellStyle name="Comma 2 2 4 4 3 2 2 2" xfId="3810"/>
    <cellStyle name="Comma 2 2 4 4 3 2 3" xfId="2894"/>
    <cellStyle name="Comma 2 2 4 4 3 3" xfId="1451"/>
    <cellStyle name="Comma 2 2 4 4 3 3 2" xfId="3360"/>
    <cellStyle name="Comma 2 2 4 4 3 4" xfId="2444"/>
    <cellStyle name="Comma 2 2 4 4 4" xfId="664"/>
    <cellStyle name="Comma 2 2 4 4 4 2" xfId="1708"/>
    <cellStyle name="Comma 2 2 4 4 4 2 2" xfId="3585"/>
    <cellStyle name="Comma 2 2 4 4 4 3" xfId="2669"/>
    <cellStyle name="Comma 2 2 4 4 5" xfId="1185"/>
    <cellStyle name="Comma 2 2 4 4 5 2" xfId="3126"/>
    <cellStyle name="Comma 2 2 4 4 6" xfId="2210"/>
    <cellStyle name="Comma 2 2 4 5" xfId="209"/>
    <cellStyle name="Comma 2 2 4 5 2" xfId="479"/>
    <cellStyle name="Comma 2 2 4 5 2 2" xfId="993"/>
    <cellStyle name="Comma 2 2 4 5 2 2 2" xfId="2037"/>
    <cellStyle name="Comma 2 2 4 5 2 2 2 2" xfId="3882"/>
    <cellStyle name="Comma 2 2 4 5 2 2 3" xfId="2966"/>
    <cellStyle name="Comma 2 2 4 5 2 3" xfId="1523"/>
    <cellStyle name="Comma 2 2 4 5 2 3 2" xfId="3432"/>
    <cellStyle name="Comma 2 2 4 5 2 4" xfId="2516"/>
    <cellStyle name="Comma 2 2 4 5 3" xfId="736"/>
    <cellStyle name="Comma 2 2 4 5 3 2" xfId="1780"/>
    <cellStyle name="Comma 2 2 4 5 3 2 2" xfId="3657"/>
    <cellStyle name="Comma 2 2 4 5 3 3" xfId="2741"/>
    <cellStyle name="Comma 2 2 4 5 4" xfId="1261"/>
    <cellStyle name="Comma 2 2 4 5 4 2" xfId="3202"/>
    <cellStyle name="Comma 2 2 4 5 5" xfId="2286"/>
    <cellStyle name="Comma 2 2 4 6" xfId="371"/>
    <cellStyle name="Comma 2 2 4 6 2" xfId="885"/>
    <cellStyle name="Comma 2 2 4 6 2 2" xfId="1929"/>
    <cellStyle name="Comma 2 2 4 6 2 2 2" xfId="3774"/>
    <cellStyle name="Comma 2 2 4 6 2 3" xfId="2858"/>
    <cellStyle name="Comma 2 2 4 6 3" xfId="1415"/>
    <cellStyle name="Comma 2 2 4 6 3 2" xfId="3324"/>
    <cellStyle name="Comma 2 2 4 6 4" xfId="2408"/>
    <cellStyle name="Comma 2 2 4 7" xfId="628"/>
    <cellStyle name="Comma 2 2 4 7 2" xfId="1672"/>
    <cellStyle name="Comma 2 2 4 7 2 2" xfId="3549"/>
    <cellStyle name="Comma 2 2 4 7 3" xfId="2633"/>
    <cellStyle name="Comma 2 2 4 8" xfId="1147"/>
    <cellStyle name="Comma 2 2 4 8 2" xfId="3088"/>
    <cellStyle name="Comma 2 2 4 9" xfId="2172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2 2" xfId="3963"/>
    <cellStyle name="Comma 2 2 5 2 2 2 2 3" xfId="3047"/>
    <cellStyle name="Comma 2 2 5 2 2 2 3" xfId="1604"/>
    <cellStyle name="Comma 2 2 5 2 2 2 3 2" xfId="3513"/>
    <cellStyle name="Comma 2 2 5 2 2 2 4" xfId="2597"/>
    <cellStyle name="Comma 2 2 5 2 2 3" xfId="817"/>
    <cellStyle name="Comma 2 2 5 2 2 3 2" xfId="1861"/>
    <cellStyle name="Comma 2 2 5 2 2 3 2 2" xfId="3738"/>
    <cellStyle name="Comma 2 2 5 2 2 3 3" xfId="2822"/>
    <cellStyle name="Comma 2 2 5 2 2 4" xfId="1346"/>
    <cellStyle name="Comma 2 2 5 2 2 4 2" xfId="3287"/>
    <cellStyle name="Comma 2 2 5 2 2 5" xfId="2371"/>
    <cellStyle name="Comma 2 2 5 2 3" xfId="452"/>
    <cellStyle name="Comma 2 2 5 2 3 2" xfId="966"/>
    <cellStyle name="Comma 2 2 5 2 3 2 2" xfId="2010"/>
    <cellStyle name="Comma 2 2 5 2 3 2 2 2" xfId="3855"/>
    <cellStyle name="Comma 2 2 5 2 3 2 3" xfId="2939"/>
    <cellStyle name="Comma 2 2 5 2 3 3" xfId="1496"/>
    <cellStyle name="Comma 2 2 5 2 3 3 2" xfId="3405"/>
    <cellStyle name="Comma 2 2 5 2 3 4" xfId="2489"/>
    <cellStyle name="Comma 2 2 5 2 4" xfId="709"/>
    <cellStyle name="Comma 2 2 5 2 4 2" xfId="1753"/>
    <cellStyle name="Comma 2 2 5 2 4 2 2" xfId="3630"/>
    <cellStyle name="Comma 2 2 5 2 4 3" xfId="2714"/>
    <cellStyle name="Comma 2 2 5 2 5" xfId="1232"/>
    <cellStyle name="Comma 2 2 5 2 5 2" xfId="3173"/>
    <cellStyle name="Comma 2 2 5 2 6" xfId="2257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2 2" xfId="3927"/>
    <cellStyle name="Comma 2 2 5 3 2 2 2 3" xfId="3011"/>
    <cellStyle name="Comma 2 2 5 3 2 2 3" xfId="1568"/>
    <cellStyle name="Comma 2 2 5 3 2 2 3 2" xfId="3477"/>
    <cellStyle name="Comma 2 2 5 3 2 2 4" xfId="2561"/>
    <cellStyle name="Comma 2 2 5 3 2 3" xfId="781"/>
    <cellStyle name="Comma 2 2 5 3 2 3 2" xfId="1825"/>
    <cellStyle name="Comma 2 2 5 3 2 3 2 2" xfId="3702"/>
    <cellStyle name="Comma 2 2 5 3 2 3 3" xfId="2786"/>
    <cellStyle name="Comma 2 2 5 3 2 4" xfId="1308"/>
    <cellStyle name="Comma 2 2 5 3 2 4 2" xfId="3249"/>
    <cellStyle name="Comma 2 2 5 3 2 5" xfId="2333"/>
    <cellStyle name="Comma 2 2 5 3 3" xfId="416"/>
    <cellStyle name="Comma 2 2 5 3 3 2" xfId="930"/>
    <cellStyle name="Comma 2 2 5 3 3 2 2" xfId="1974"/>
    <cellStyle name="Comma 2 2 5 3 3 2 2 2" xfId="3819"/>
    <cellStyle name="Comma 2 2 5 3 3 2 3" xfId="2903"/>
    <cellStyle name="Comma 2 2 5 3 3 3" xfId="1460"/>
    <cellStyle name="Comma 2 2 5 3 3 3 2" xfId="3369"/>
    <cellStyle name="Comma 2 2 5 3 3 4" xfId="2453"/>
    <cellStyle name="Comma 2 2 5 3 4" xfId="673"/>
    <cellStyle name="Comma 2 2 5 3 4 2" xfId="1717"/>
    <cellStyle name="Comma 2 2 5 3 4 2 2" xfId="3594"/>
    <cellStyle name="Comma 2 2 5 3 4 3" xfId="2678"/>
    <cellStyle name="Comma 2 2 5 3 5" xfId="1194"/>
    <cellStyle name="Comma 2 2 5 3 5 2" xfId="3135"/>
    <cellStyle name="Comma 2 2 5 3 6" xfId="2219"/>
    <cellStyle name="Comma 2 2 5 4" xfId="219"/>
    <cellStyle name="Comma 2 2 5 4 2" xfId="488"/>
    <cellStyle name="Comma 2 2 5 4 2 2" xfId="1002"/>
    <cellStyle name="Comma 2 2 5 4 2 2 2" xfId="2046"/>
    <cellStyle name="Comma 2 2 5 4 2 2 2 2" xfId="3891"/>
    <cellStyle name="Comma 2 2 5 4 2 2 3" xfId="2975"/>
    <cellStyle name="Comma 2 2 5 4 2 3" xfId="1532"/>
    <cellStyle name="Comma 2 2 5 4 2 3 2" xfId="3441"/>
    <cellStyle name="Comma 2 2 5 4 2 4" xfId="2525"/>
    <cellStyle name="Comma 2 2 5 4 3" xfId="745"/>
    <cellStyle name="Comma 2 2 5 4 3 2" xfId="1789"/>
    <cellStyle name="Comma 2 2 5 4 3 2 2" xfId="3666"/>
    <cellStyle name="Comma 2 2 5 4 3 3" xfId="2750"/>
    <cellStyle name="Comma 2 2 5 4 4" xfId="1270"/>
    <cellStyle name="Comma 2 2 5 4 4 2" xfId="3211"/>
    <cellStyle name="Comma 2 2 5 4 5" xfId="2295"/>
    <cellStyle name="Comma 2 2 5 5" xfId="380"/>
    <cellStyle name="Comma 2 2 5 5 2" xfId="894"/>
    <cellStyle name="Comma 2 2 5 5 2 2" xfId="1938"/>
    <cellStyle name="Comma 2 2 5 5 2 2 2" xfId="3783"/>
    <cellStyle name="Comma 2 2 5 5 2 3" xfId="2867"/>
    <cellStyle name="Comma 2 2 5 5 3" xfId="1424"/>
    <cellStyle name="Comma 2 2 5 5 3 2" xfId="3333"/>
    <cellStyle name="Comma 2 2 5 5 4" xfId="2417"/>
    <cellStyle name="Comma 2 2 5 6" xfId="637"/>
    <cellStyle name="Comma 2 2 5 6 2" xfId="1681"/>
    <cellStyle name="Comma 2 2 5 6 2 2" xfId="3558"/>
    <cellStyle name="Comma 2 2 5 6 3" xfId="2642"/>
    <cellStyle name="Comma 2 2 5 7" xfId="1156"/>
    <cellStyle name="Comma 2 2 5 7 2" xfId="3097"/>
    <cellStyle name="Comma 2 2 5 8" xfId="2181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2 2" xfId="3945"/>
    <cellStyle name="Comma 2 2 6 2 2 2 3" xfId="3029"/>
    <cellStyle name="Comma 2 2 6 2 2 3" xfId="1586"/>
    <cellStyle name="Comma 2 2 6 2 2 3 2" xfId="3495"/>
    <cellStyle name="Comma 2 2 6 2 2 4" xfId="2579"/>
    <cellStyle name="Comma 2 2 6 2 3" xfId="799"/>
    <cellStyle name="Comma 2 2 6 2 3 2" xfId="1843"/>
    <cellStyle name="Comma 2 2 6 2 3 2 2" xfId="3720"/>
    <cellStyle name="Comma 2 2 6 2 3 3" xfId="2804"/>
    <cellStyle name="Comma 2 2 6 2 4" xfId="1327"/>
    <cellStyle name="Comma 2 2 6 2 4 2" xfId="3268"/>
    <cellStyle name="Comma 2 2 6 2 5" xfId="2352"/>
    <cellStyle name="Comma 2 2 6 3" xfId="434"/>
    <cellStyle name="Comma 2 2 6 3 2" xfId="948"/>
    <cellStyle name="Comma 2 2 6 3 2 2" xfId="1992"/>
    <cellStyle name="Comma 2 2 6 3 2 2 2" xfId="3837"/>
    <cellStyle name="Comma 2 2 6 3 2 3" xfId="2921"/>
    <cellStyle name="Comma 2 2 6 3 3" xfId="1478"/>
    <cellStyle name="Comma 2 2 6 3 3 2" xfId="3387"/>
    <cellStyle name="Comma 2 2 6 3 4" xfId="2471"/>
    <cellStyle name="Comma 2 2 6 4" xfId="691"/>
    <cellStyle name="Comma 2 2 6 4 2" xfId="1735"/>
    <cellStyle name="Comma 2 2 6 4 2 2" xfId="3612"/>
    <cellStyle name="Comma 2 2 6 4 3" xfId="2696"/>
    <cellStyle name="Comma 2 2 6 5" xfId="1213"/>
    <cellStyle name="Comma 2 2 6 5 2" xfId="3154"/>
    <cellStyle name="Comma 2 2 6 6" xfId="2238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2 2" xfId="3909"/>
    <cellStyle name="Comma 2 2 7 2 2 2 3" xfId="2993"/>
    <cellStyle name="Comma 2 2 7 2 2 3" xfId="1550"/>
    <cellStyle name="Comma 2 2 7 2 2 3 2" xfId="3459"/>
    <cellStyle name="Comma 2 2 7 2 2 4" xfId="2543"/>
    <cellStyle name="Comma 2 2 7 2 3" xfId="763"/>
    <cellStyle name="Comma 2 2 7 2 3 2" xfId="1807"/>
    <cellStyle name="Comma 2 2 7 2 3 2 2" xfId="3684"/>
    <cellStyle name="Comma 2 2 7 2 3 3" xfId="2768"/>
    <cellStyle name="Comma 2 2 7 2 4" xfId="1289"/>
    <cellStyle name="Comma 2 2 7 2 4 2" xfId="3230"/>
    <cellStyle name="Comma 2 2 7 2 5" xfId="2314"/>
    <cellStyle name="Comma 2 2 7 3" xfId="398"/>
    <cellStyle name="Comma 2 2 7 3 2" xfId="912"/>
    <cellStyle name="Comma 2 2 7 3 2 2" xfId="1956"/>
    <cellStyle name="Comma 2 2 7 3 2 2 2" xfId="3801"/>
    <cellStyle name="Comma 2 2 7 3 2 3" xfId="2885"/>
    <cellStyle name="Comma 2 2 7 3 3" xfId="1442"/>
    <cellStyle name="Comma 2 2 7 3 3 2" xfId="3351"/>
    <cellStyle name="Comma 2 2 7 3 4" xfId="2435"/>
    <cellStyle name="Comma 2 2 7 4" xfId="655"/>
    <cellStyle name="Comma 2 2 7 4 2" xfId="1699"/>
    <cellStyle name="Comma 2 2 7 4 2 2" xfId="3576"/>
    <cellStyle name="Comma 2 2 7 4 3" xfId="2660"/>
    <cellStyle name="Comma 2 2 7 5" xfId="1175"/>
    <cellStyle name="Comma 2 2 7 5 2" xfId="3116"/>
    <cellStyle name="Comma 2 2 7 6" xfId="2200"/>
    <cellStyle name="Comma 2 2 8" xfId="199"/>
    <cellStyle name="Comma 2 2 8 2" xfId="470"/>
    <cellStyle name="Comma 2 2 8 2 2" xfId="984"/>
    <cellStyle name="Comma 2 2 8 2 2 2" xfId="2028"/>
    <cellStyle name="Comma 2 2 8 2 2 2 2" xfId="3873"/>
    <cellStyle name="Comma 2 2 8 2 2 3" xfId="2957"/>
    <cellStyle name="Comma 2 2 8 2 3" xfId="1514"/>
    <cellStyle name="Comma 2 2 8 2 3 2" xfId="3423"/>
    <cellStyle name="Comma 2 2 8 2 4" xfId="2507"/>
    <cellStyle name="Comma 2 2 8 3" xfId="727"/>
    <cellStyle name="Comma 2 2 8 3 2" xfId="1771"/>
    <cellStyle name="Comma 2 2 8 3 2 2" xfId="3648"/>
    <cellStyle name="Comma 2 2 8 3 3" xfId="2732"/>
    <cellStyle name="Comma 2 2 8 4" xfId="1251"/>
    <cellStyle name="Comma 2 2 8 4 2" xfId="3192"/>
    <cellStyle name="Comma 2 2 8 5" xfId="2276"/>
    <cellStyle name="Comma 2 2 9" xfId="73"/>
    <cellStyle name="Comma 2 2 9 2" xfId="360"/>
    <cellStyle name="Comma 2 2 9 2 2" xfId="874"/>
    <cellStyle name="Comma 2 2 9 2 2 2" xfId="1918"/>
    <cellStyle name="Comma 2 2 9 2 2 2 2" xfId="3765"/>
    <cellStyle name="Comma 2 2 9 2 2 3" xfId="2849"/>
    <cellStyle name="Comma 2 2 9 2 3" xfId="1404"/>
    <cellStyle name="Comma 2 2 9 2 3 2" xfId="3315"/>
    <cellStyle name="Comma 2 2 9 2 4" xfId="2399"/>
    <cellStyle name="Comma 2 2 9 3" xfId="617"/>
    <cellStyle name="Comma 2 2 9 3 2" xfId="1661"/>
    <cellStyle name="Comma 2 2 9 3 2 2" xfId="3540"/>
    <cellStyle name="Comma 2 2 9 3 3" xfId="2624"/>
    <cellStyle name="Comma 2 2 9 4" xfId="1133"/>
    <cellStyle name="Comma 2 2 9 4 2" xfId="3076"/>
    <cellStyle name="Comma 2 2 9 5" xfId="2160"/>
    <cellStyle name="Comma 2 3" xfId="51"/>
    <cellStyle name="Comma 2 3 10" xfId="1111"/>
    <cellStyle name="Comma 2 3 10 2" xfId="3067"/>
    <cellStyle name="Comma 2 3 11" xfId="2151"/>
    <cellStyle name="Comma 2 3 2" xfId="64"/>
    <cellStyle name="Comma 2 3 2 10" xfId="2156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2 2" xfId="3974"/>
    <cellStyle name="Comma 2 3 2 2 2 2 2 2 3" xfId="3058"/>
    <cellStyle name="Comma 2 3 2 2 2 2 2 3" xfId="1615"/>
    <cellStyle name="Comma 2 3 2 2 2 2 2 3 2" xfId="3524"/>
    <cellStyle name="Comma 2 3 2 2 2 2 2 4" xfId="2608"/>
    <cellStyle name="Comma 2 3 2 2 2 2 3" xfId="828"/>
    <cellStyle name="Comma 2 3 2 2 2 2 3 2" xfId="1872"/>
    <cellStyle name="Comma 2 3 2 2 2 2 3 2 2" xfId="3749"/>
    <cellStyle name="Comma 2 3 2 2 2 2 3 3" xfId="2833"/>
    <cellStyle name="Comma 2 3 2 2 2 2 4" xfId="1358"/>
    <cellStyle name="Comma 2 3 2 2 2 2 4 2" xfId="3299"/>
    <cellStyle name="Comma 2 3 2 2 2 2 5" xfId="2383"/>
    <cellStyle name="Comma 2 3 2 2 2 3" xfId="463"/>
    <cellStyle name="Comma 2 3 2 2 2 3 2" xfId="977"/>
    <cellStyle name="Comma 2 3 2 2 2 3 2 2" xfId="2021"/>
    <cellStyle name="Comma 2 3 2 2 2 3 2 2 2" xfId="3866"/>
    <cellStyle name="Comma 2 3 2 2 2 3 2 3" xfId="2950"/>
    <cellStyle name="Comma 2 3 2 2 2 3 3" xfId="1507"/>
    <cellStyle name="Comma 2 3 2 2 2 3 3 2" xfId="3416"/>
    <cellStyle name="Comma 2 3 2 2 2 3 4" xfId="2500"/>
    <cellStyle name="Comma 2 3 2 2 2 4" xfId="720"/>
    <cellStyle name="Comma 2 3 2 2 2 4 2" xfId="1764"/>
    <cellStyle name="Comma 2 3 2 2 2 4 2 2" xfId="3641"/>
    <cellStyle name="Comma 2 3 2 2 2 4 3" xfId="2725"/>
    <cellStyle name="Comma 2 3 2 2 2 5" xfId="1244"/>
    <cellStyle name="Comma 2 3 2 2 2 5 2" xfId="3185"/>
    <cellStyle name="Comma 2 3 2 2 2 6" xfId="2269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2 2" xfId="3938"/>
    <cellStyle name="Comma 2 3 2 2 3 2 2 2 3" xfId="3022"/>
    <cellStyle name="Comma 2 3 2 2 3 2 2 3" xfId="1579"/>
    <cellStyle name="Comma 2 3 2 2 3 2 2 3 2" xfId="3488"/>
    <cellStyle name="Comma 2 3 2 2 3 2 2 4" xfId="2572"/>
    <cellStyle name="Comma 2 3 2 2 3 2 3" xfId="792"/>
    <cellStyle name="Comma 2 3 2 2 3 2 3 2" xfId="1836"/>
    <cellStyle name="Comma 2 3 2 2 3 2 3 2 2" xfId="3713"/>
    <cellStyle name="Comma 2 3 2 2 3 2 3 3" xfId="2797"/>
    <cellStyle name="Comma 2 3 2 2 3 2 4" xfId="1320"/>
    <cellStyle name="Comma 2 3 2 2 3 2 4 2" xfId="3261"/>
    <cellStyle name="Comma 2 3 2 2 3 2 5" xfId="2345"/>
    <cellStyle name="Comma 2 3 2 2 3 3" xfId="427"/>
    <cellStyle name="Comma 2 3 2 2 3 3 2" xfId="941"/>
    <cellStyle name="Comma 2 3 2 2 3 3 2 2" xfId="1985"/>
    <cellStyle name="Comma 2 3 2 2 3 3 2 2 2" xfId="3830"/>
    <cellStyle name="Comma 2 3 2 2 3 3 2 3" xfId="2914"/>
    <cellStyle name="Comma 2 3 2 2 3 3 3" xfId="1471"/>
    <cellStyle name="Comma 2 3 2 2 3 3 3 2" xfId="3380"/>
    <cellStyle name="Comma 2 3 2 2 3 3 4" xfId="2464"/>
    <cellStyle name="Comma 2 3 2 2 3 4" xfId="684"/>
    <cellStyle name="Comma 2 3 2 2 3 4 2" xfId="1728"/>
    <cellStyle name="Comma 2 3 2 2 3 4 2 2" xfId="3605"/>
    <cellStyle name="Comma 2 3 2 2 3 4 3" xfId="2689"/>
    <cellStyle name="Comma 2 3 2 2 3 5" xfId="1206"/>
    <cellStyle name="Comma 2 3 2 2 3 5 2" xfId="3147"/>
    <cellStyle name="Comma 2 3 2 2 3 6" xfId="2231"/>
    <cellStyle name="Comma 2 3 2 2 4" xfId="231"/>
    <cellStyle name="Comma 2 3 2 2 4 2" xfId="499"/>
    <cellStyle name="Comma 2 3 2 2 4 2 2" xfId="1013"/>
    <cellStyle name="Comma 2 3 2 2 4 2 2 2" xfId="2057"/>
    <cellStyle name="Comma 2 3 2 2 4 2 2 2 2" xfId="3902"/>
    <cellStyle name="Comma 2 3 2 2 4 2 2 3" xfId="2986"/>
    <cellStyle name="Comma 2 3 2 2 4 2 3" xfId="1543"/>
    <cellStyle name="Comma 2 3 2 2 4 2 3 2" xfId="3452"/>
    <cellStyle name="Comma 2 3 2 2 4 2 4" xfId="2536"/>
    <cellStyle name="Comma 2 3 2 2 4 3" xfId="756"/>
    <cellStyle name="Comma 2 3 2 2 4 3 2" xfId="1800"/>
    <cellStyle name="Comma 2 3 2 2 4 3 2 2" xfId="3677"/>
    <cellStyle name="Comma 2 3 2 2 4 3 3" xfId="2761"/>
    <cellStyle name="Comma 2 3 2 2 4 4" xfId="1282"/>
    <cellStyle name="Comma 2 3 2 2 4 4 2" xfId="3223"/>
    <cellStyle name="Comma 2 3 2 2 4 5" xfId="2307"/>
    <cellStyle name="Comma 2 3 2 2 5" xfId="391"/>
    <cellStyle name="Comma 2 3 2 2 5 2" xfId="905"/>
    <cellStyle name="Comma 2 3 2 2 5 2 2" xfId="1949"/>
    <cellStyle name="Comma 2 3 2 2 5 2 2 2" xfId="3794"/>
    <cellStyle name="Comma 2 3 2 2 5 2 3" xfId="2878"/>
    <cellStyle name="Comma 2 3 2 2 5 3" xfId="1435"/>
    <cellStyle name="Comma 2 3 2 2 5 3 2" xfId="3344"/>
    <cellStyle name="Comma 2 3 2 2 5 4" xfId="2428"/>
    <cellStyle name="Comma 2 3 2 2 6" xfId="648"/>
    <cellStyle name="Comma 2 3 2 2 6 2" xfId="1692"/>
    <cellStyle name="Comma 2 3 2 2 6 2 2" xfId="3569"/>
    <cellStyle name="Comma 2 3 2 2 6 3" xfId="2653"/>
    <cellStyle name="Comma 2 3 2 2 7" xfId="1168"/>
    <cellStyle name="Comma 2 3 2 2 7 2" xfId="3109"/>
    <cellStyle name="Comma 2 3 2 2 8" xfId="2193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2 2" xfId="3956"/>
    <cellStyle name="Comma 2 3 2 3 2 2 2 3" xfId="3040"/>
    <cellStyle name="Comma 2 3 2 3 2 2 3" xfId="1597"/>
    <cellStyle name="Comma 2 3 2 3 2 2 3 2" xfId="3506"/>
    <cellStyle name="Comma 2 3 2 3 2 2 4" xfId="2590"/>
    <cellStyle name="Comma 2 3 2 3 2 3" xfId="810"/>
    <cellStyle name="Comma 2 3 2 3 2 3 2" xfId="1854"/>
    <cellStyle name="Comma 2 3 2 3 2 3 2 2" xfId="3731"/>
    <cellStyle name="Comma 2 3 2 3 2 3 3" xfId="2815"/>
    <cellStyle name="Comma 2 3 2 3 2 4" xfId="1339"/>
    <cellStyle name="Comma 2 3 2 3 2 4 2" xfId="3280"/>
    <cellStyle name="Comma 2 3 2 3 2 5" xfId="2364"/>
    <cellStyle name="Comma 2 3 2 3 3" xfId="445"/>
    <cellStyle name="Comma 2 3 2 3 3 2" xfId="959"/>
    <cellStyle name="Comma 2 3 2 3 3 2 2" xfId="2003"/>
    <cellStyle name="Comma 2 3 2 3 3 2 2 2" xfId="3848"/>
    <cellStyle name="Comma 2 3 2 3 3 2 3" xfId="2932"/>
    <cellStyle name="Comma 2 3 2 3 3 3" xfId="1489"/>
    <cellStyle name="Comma 2 3 2 3 3 3 2" xfId="3398"/>
    <cellStyle name="Comma 2 3 2 3 3 4" xfId="2482"/>
    <cellStyle name="Comma 2 3 2 3 4" xfId="702"/>
    <cellStyle name="Comma 2 3 2 3 4 2" xfId="1746"/>
    <cellStyle name="Comma 2 3 2 3 4 2 2" xfId="3623"/>
    <cellStyle name="Comma 2 3 2 3 4 3" xfId="2707"/>
    <cellStyle name="Comma 2 3 2 3 5" xfId="1225"/>
    <cellStyle name="Comma 2 3 2 3 5 2" xfId="3166"/>
    <cellStyle name="Comma 2 3 2 3 6" xfId="2250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2 2" xfId="3920"/>
    <cellStyle name="Comma 2 3 2 4 2 2 2 3" xfId="3004"/>
    <cellStyle name="Comma 2 3 2 4 2 2 3" xfId="1561"/>
    <cellStyle name="Comma 2 3 2 4 2 2 3 2" xfId="3470"/>
    <cellStyle name="Comma 2 3 2 4 2 2 4" xfId="2554"/>
    <cellStyle name="Comma 2 3 2 4 2 3" xfId="774"/>
    <cellStyle name="Comma 2 3 2 4 2 3 2" xfId="1818"/>
    <cellStyle name="Comma 2 3 2 4 2 3 2 2" xfId="3695"/>
    <cellStyle name="Comma 2 3 2 4 2 3 3" xfId="2779"/>
    <cellStyle name="Comma 2 3 2 4 2 4" xfId="1301"/>
    <cellStyle name="Comma 2 3 2 4 2 4 2" xfId="3242"/>
    <cellStyle name="Comma 2 3 2 4 2 5" xfId="2326"/>
    <cellStyle name="Comma 2 3 2 4 3" xfId="409"/>
    <cellStyle name="Comma 2 3 2 4 3 2" xfId="923"/>
    <cellStyle name="Comma 2 3 2 4 3 2 2" xfId="1967"/>
    <cellStyle name="Comma 2 3 2 4 3 2 2 2" xfId="3812"/>
    <cellStyle name="Comma 2 3 2 4 3 2 3" xfId="2896"/>
    <cellStyle name="Comma 2 3 2 4 3 3" xfId="1453"/>
    <cellStyle name="Comma 2 3 2 4 3 3 2" xfId="3362"/>
    <cellStyle name="Comma 2 3 2 4 3 4" xfId="2446"/>
    <cellStyle name="Comma 2 3 2 4 4" xfId="666"/>
    <cellStyle name="Comma 2 3 2 4 4 2" xfId="1710"/>
    <cellStyle name="Comma 2 3 2 4 4 2 2" xfId="3587"/>
    <cellStyle name="Comma 2 3 2 4 4 3" xfId="2671"/>
    <cellStyle name="Comma 2 3 2 4 5" xfId="1187"/>
    <cellStyle name="Comma 2 3 2 4 5 2" xfId="3128"/>
    <cellStyle name="Comma 2 3 2 4 6" xfId="2212"/>
    <cellStyle name="Comma 2 3 2 5" xfId="211"/>
    <cellStyle name="Comma 2 3 2 5 2" xfId="481"/>
    <cellStyle name="Comma 2 3 2 5 2 2" xfId="995"/>
    <cellStyle name="Comma 2 3 2 5 2 2 2" xfId="2039"/>
    <cellStyle name="Comma 2 3 2 5 2 2 2 2" xfId="3884"/>
    <cellStyle name="Comma 2 3 2 5 2 2 3" xfId="2968"/>
    <cellStyle name="Comma 2 3 2 5 2 3" xfId="1525"/>
    <cellStyle name="Comma 2 3 2 5 2 3 2" xfId="3434"/>
    <cellStyle name="Comma 2 3 2 5 2 4" xfId="2518"/>
    <cellStyle name="Comma 2 3 2 5 3" xfId="738"/>
    <cellStyle name="Comma 2 3 2 5 3 2" xfId="1782"/>
    <cellStyle name="Comma 2 3 2 5 3 2 2" xfId="3659"/>
    <cellStyle name="Comma 2 3 2 5 3 3" xfId="2743"/>
    <cellStyle name="Comma 2 3 2 5 4" xfId="1263"/>
    <cellStyle name="Comma 2 3 2 5 4 2" xfId="3204"/>
    <cellStyle name="Comma 2 3 2 5 5" xfId="2288"/>
    <cellStyle name="Comma 2 3 2 6" xfId="89"/>
    <cellStyle name="Comma 2 3 2 6 2" xfId="373"/>
    <cellStyle name="Comma 2 3 2 6 2 2" xfId="887"/>
    <cellStyle name="Comma 2 3 2 6 2 2 2" xfId="1931"/>
    <cellStyle name="Comma 2 3 2 6 2 2 2 2" xfId="3776"/>
    <cellStyle name="Comma 2 3 2 6 2 2 3" xfId="2860"/>
    <cellStyle name="Comma 2 3 2 6 2 3" xfId="1417"/>
    <cellStyle name="Comma 2 3 2 6 2 3 2" xfId="3326"/>
    <cellStyle name="Comma 2 3 2 6 2 4" xfId="2410"/>
    <cellStyle name="Comma 2 3 2 6 3" xfId="630"/>
    <cellStyle name="Comma 2 3 2 6 3 2" xfId="1674"/>
    <cellStyle name="Comma 2 3 2 6 3 2 2" xfId="3551"/>
    <cellStyle name="Comma 2 3 2 6 3 3" xfId="2635"/>
    <cellStyle name="Comma 2 3 2 6 4" xfId="1149"/>
    <cellStyle name="Comma 2 3 2 6 4 2" xfId="3090"/>
    <cellStyle name="Comma 2 3 2 6 5" xfId="2174"/>
    <cellStyle name="Comma 2 3 2 7" xfId="351"/>
    <cellStyle name="Comma 2 3 2 7 2" xfId="865"/>
    <cellStyle name="Comma 2 3 2 7 2 2" xfId="1909"/>
    <cellStyle name="Comma 2 3 2 7 2 2 2" xfId="3761"/>
    <cellStyle name="Comma 2 3 2 7 2 3" xfId="2845"/>
    <cellStyle name="Comma 2 3 2 7 3" xfId="1395"/>
    <cellStyle name="Comma 2 3 2 7 3 2" xfId="3311"/>
    <cellStyle name="Comma 2 3 2 7 4" xfId="2395"/>
    <cellStyle name="Comma 2 3 2 8" xfId="608"/>
    <cellStyle name="Comma 2 3 2 8 2" xfId="1652"/>
    <cellStyle name="Comma 2 3 2 8 2 2" xfId="3536"/>
    <cellStyle name="Comma 2 3 2 8 3" xfId="2620"/>
    <cellStyle name="Comma 2 3 2 9" xfId="1124"/>
    <cellStyle name="Comma 2 3 2 9 2" xfId="3072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2 2" xfId="3965"/>
    <cellStyle name="Comma 2 3 3 2 2 2 2 3" xfId="3049"/>
    <cellStyle name="Comma 2 3 3 2 2 2 3" xfId="1606"/>
    <cellStyle name="Comma 2 3 3 2 2 2 3 2" xfId="3515"/>
    <cellStyle name="Comma 2 3 3 2 2 2 4" xfId="2599"/>
    <cellStyle name="Comma 2 3 3 2 2 3" xfId="819"/>
    <cellStyle name="Comma 2 3 3 2 2 3 2" xfId="1863"/>
    <cellStyle name="Comma 2 3 3 2 2 3 2 2" xfId="3740"/>
    <cellStyle name="Comma 2 3 3 2 2 3 3" xfId="2824"/>
    <cellStyle name="Comma 2 3 3 2 2 4" xfId="1348"/>
    <cellStyle name="Comma 2 3 3 2 2 4 2" xfId="3289"/>
    <cellStyle name="Comma 2 3 3 2 2 5" xfId="2373"/>
    <cellStyle name="Comma 2 3 3 2 3" xfId="454"/>
    <cellStyle name="Comma 2 3 3 2 3 2" xfId="968"/>
    <cellStyle name="Comma 2 3 3 2 3 2 2" xfId="2012"/>
    <cellStyle name="Comma 2 3 3 2 3 2 2 2" xfId="3857"/>
    <cellStyle name="Comma 2 3 3 2 3 2 3" xfId="2941"/>
    <cellStyle name="Comma 2 3 3 2 3 3" xfId="1498"/>
    <cellStyle name="Comma 2 3 3 2 3 3 2" xfId="3407"/>
    <cellStyle name="Comma 2 3 3 2 3 4" xfId="2491"/>
    <cellStyle name="Comma 2 3 3 2 4" xfId="711"/>
    <cellStyle name="Comma 2 3 3 2 4 2" xfId="1755"/>
    <cellStyle name="Comma 2 3 3 2 4 2 2" xfId="3632"/>
    <cellStyle name="Comma 2 3 3 2 4 3" xfId="2716"/>
    <cellStyle name="Comma 2 3 3 2 5" xfId="1234"/>
    <cellStyle name="Comma 2 3 3 2 5 2" xfId="3175"/>
    <cellStyle name="Comma 2 3 3 2 6" xfId="2259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2 2" xfId="3929"/>
    <cellStyle name="Comma 2 3 3 3 2 2 2 3" xfId="3013"/>
    <cellStyle name="Comma 2 3 3 3 2 2 3" xfId="1570"/>
    <cellStyle name="Comma 2 3 3 3 2 2 3 2" xfId="3479"/>
    <cellStyle name="Comma 2 3 3 3 2 2 4" xfId="2563"/>
    <cellStyle name="Comma 2 3 3 3 2 3" xfId="783"/>
    <cellStyle name="Comma 2 3 3 3 2 3 2" xfId="1827"/>
    <cellStyle name="Comma 2 3 3 3 2 3 2 2" xfId="3704"/>
    <cellStyle name="Comma 2 3 3 3 2 3 3" xfId="2788"/>
    <cellStyle name="Comma 2 3 3 3 2 4" xfId="1310"/>
    <cellStyle name="Comma 2 3 3 3 2 4 2" xfId="3251"/>
    <cellStyle name="Comma 2 3 3 3 2 5" xfId="2335"/>
    <cellStyle name="Comma 2 3 3 3 3" xfId="418"/>
    <cellStyle name="Comma 2 3 3 3 3 2" xfId="932"/>
    <cellStyle name="Comma 2 3 3 3 3 2 2" xfId="1976"/>
    <cellStyle name="Comma 2 3 3 3 3 2 2 2" xfId="3821"/>
    <cellStyle name="Comma 2 3 3 3 3 2 3" xfId="2905"/>
    <cellStyle name="Comma 2 3 3 3 3 3" xfId="1462"/>
    <cellStyle name="Comma 2 3 3 3 3 3 2" xfId="3371"/>
    <cellStyle name="Comma 2 3 3 3 3 4" xfId="2455"/>
    <cellStyle name="Comma 2 3 3 3 4" xfId="675"/>
    <cellStyle name="Comma 2 3 3 3 4 2" xfId="1719"/>
    <cellStyle name="Comma 2 3 3 3 4 2 2" xfId="3596"/>
    <cellStyle name="Comma 2 3 3 3 4 3" xfId="2680"/>
    <cellStyle name="Comma 2 3 3 3 5" xfId="1196"/>
    <cellStyle name="Comma 2 3 3 3 5 2" xfId="3137"/>
    <cellStyle name="Comma 2 3 3 3 6" xfId="2221"/>
    <cellStyle name="Comma 2 3 3 4" xfId="221"/>
    <cellStyle name="Comma 2 3 3 4 2" xfId="490"/>
    <cellStyle name="Comma 2 3 3 4 2 2" xfId="1004"/>
    <cellStyle name="Comma 2 3 3 4 2 2 2" xfId="2048"/>
    <cellStyle name="Comma 2 3 3 4 2 2 2 2" xfId="3893"/>
    <cellStyle name="Comma 2 3 3 4 2 2 3" xfId="2977"/>
    <cellStyle name="Comma 2 3 3 4 2 3" xfId="1534"/>
    <cellStyle name="Comma 2 3 3 4 2 3 2" xfId="3443"/>
    <cellStyle name="Comma 2 3 3 4 2 4" xfId="2527"/>
    <cellStyle name="Comma 2 3 3 4 3" xfId="747"/>
    <cellStyle name="Comma 2 3 3 4 3 2" xfId="1791"/>
    <cellStyle name="Comma 2 3 3 4 3 2 2" xfId="3668"/>
    <cellStyle name="Comma 2 3 3 4 3 3" xfId="2752"/>
    <cellStyle name="Comma 2 3 3 4 4" xfId="1272"/>
    <cellStyle name="Comma 2 3 3 4 4 2" xfId="3213"/>
    <cellStyle name="Comma 2 3 3 4 5" xfId="2297"/>
    <cellStyle name="Comma 2 3 3 5" xfId="382"/>
    <cellStyle name="Comma 2 3 3 5 2" xfId="896"/>
    <cellStyle name="Comma 2 3 3 5 2 2" xfId="1940"/>
    <cellStyle name="Comma 2 3 3 5 2 2 2" xfId="3785"/>
    <cellStyle name="Comma 2 3 3 5 2 3" xfId="2869"/>
    <cellStyle name="Comma 2 3 3 5 3" xfId="1426"/>
    <cellStyle name="Comma 2 3 3 5 3 2" xfId="3335"/>
    <cellStyle name="Comma 2 3 3 5 4" xfId="2419"/>
    <cellStyle name="Comma 2 3 3 6" xfId="639"/>
    <cellStyle name="Comma 2 3 3 6 2" xfId="1683"/>
    <cellStyle name="Comma 2 3 3 6 2 2" xfId="3560"/>
    <cellStyle name="Comma 2 3 3 6 3" xfId="2644"/>
    <cellStyle name="Comma 2 3 3 7" xfId="1158"/>
    <cellStyle name="Comma 2 3 3 7 2" xfId="3099"/>
    <cellStyle name="Comma 2 3 3 8" xfId="2183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2 2" xfId="3947"/>
    <cellStyle name="Comma 2 3 4 2 2 2 3" xfId="3031"/>
    <cellStyle name="Comma 2 3 4 2 2 3" xfId="1588"/>
    <cellStyle name="Comma 2 3 4 2 2 3 2" xfId="3497"/>
    <cellStyle name="Comma 2 3 4 2 2 4" xfId="2581"/>
    <cellStyle name="Comma 2 3 4 2 3" xfId="801"/>
    <cellStyle name="Comma 2 3 4 2 3 2" xfId="1845"/>
    <cellStyle name="Comma 2 3 4 2 3 2 2" xfId="3722"/>
    <cellStyle name="Comma 2 3 4 2 3 3" xfId="2806"/>
    <cellStyle name="Comma 2 3 4 2 4" xfId="1329"/>
    <cellStyle name="Comma 2 3 4 2 4 2" xfId="3270"/>
    <cellStyle name="Comma 2 3 4 2 5" xfId="2354"/>
    <cellStyle name="Comma 2 3 4 3" xfId="436"/>
    <cellStyle name="Comma 2 3 4 3 2" xfId="950"/>
    <cellStyle name="Comma 2 3 4 3 2 2" xfId="1994"/>
    <cellStyle name="Comma 2 3 4 3 2 2 2" xfId="3839"/>
    <cellStyle name="Comma 2 3 4 3 2 3" xfId="2923"/>
    <cellStyle name="Comma 2 3 4 3 3" xfId="1480"/>
    <cellStyle name="Comma 2 3 4 3 3 2" xfId="3389"/>
    <cellStyle name="Comma 2 3 4 3 4" xfId="2473"/>
    <cellStyle name="Comma 2 3 4 4" xfId="693"/>
    <cellStyle name="Comma 2 3 4 4 2" xfId="1737"/>
    <cellStyle name="Comma 2 3 4 4 2 2" xfId="3614"/>
    <cellStyle name="Comma 2 3 4 4 3" xfId="2698"/>
    <cellStyle name="Comma 2 3 4 5" xfId="1215"/>
    <cellStyle name="Comma 2 3 4 5 2" xfId="3156"/>
    <cellStyle name="Comma 2 3 4 6" xfId="2240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2 2" xfId="3911"/>
    <cellStyle name="Comma 2 3 5 2 2 2 3" xfId="2995"/>
    <cellStyle name="Comma 2 3 5 2 2 3" xfId="1552"/>
    <cellStyle name="Comma 2 3 5 2 2 3 2" xfId="3461"/>
    <cellStyle name="Comma 2 3 5 2 2 4" xfId="2545"/>
    <cellStyle name="Comma 2 3 5 2 3" xfId="765"/>
    <cellStyle name="Comma 2 3 5 2 3 2" xfId="1809"/>
    <cellStyle name="Comma 2 3 5 2 3 2 2" xfId="3686"/>
    <cellStyle name="Comma 2 3 5 2 3 3" xfId="2770"/>
    <cellStyle name="Comma 2 3 5 2 4" xfId="1291"/>
    <cellStyle name="Comma 2 3 5 2 4 2" xfId="3232"/>
    <cellStyle name="Comma 2 3 5 2 5" xfId="2316"/>
    <cellStyle name="Comma 2 3 5 3" xfId="400"/>
    <cellStyle name="Comma 2 3 5 3 2" xfId="914"/>
    <cellStyle name="Comma 2 3 5 3 2 2" xfId="1958"/>
    <cellStyle name="Comma 2 3 5 3 2 2 2" xfId="3803"/>
    <cellStyle name="Comma 2 3 5 3 2 3" xfId="2887"/>
    <cellStyle name="Comma 2 3 5 3 3" xfId="1444"/>
    <cellStyle name="Comma 2 3 5 3 3 2" xfId="3353"/>
    <cellStyle name="Comma 2 3 5 3 4" xfId="2437"/>
    <cellStyle name="Comma 2 3 5 4" xfId="657"/>
    <cellStyle name="Comma 2 3 5 4 2" xfId="1701"/>
    <cellStyle name="Comma 2 3 5 4 2 2" xfId="3578"/>
    <cellStyle name="Comma 2 3 5 4 3" xfId="2662"/>
    <cellStyle name="Comma 2 3 5 5" xfId="1177"/>
    <cellStyle name="Comma 2 3 5 5 2" xfId="3118"/>
    <cellStyle name="Comma 2 3 5 6" xfId="2202"/>
    <cellStyle name="Comma 2 3 6" xfId="201"/>
    <cellStyle name="Comma 2 3 6 2" xfId="472"/>
    <cellStyle name="Comma 2 3 6 2 2" xfId="986"/>
    <cellStyle name="Comma 2 3 6 2 2 2" xfId="2030"/>
    <cellStyle name="Comma 2 3 6 2 2 2 2" xfId="3875"/>
    <cellStyle name="Comma 2 3 6 2 2 3" xfId="2959"/>
    <cellStyle name="Comma 2 3 6 2 3" xfId="1516"/>
    <cellStyle name="Comma 2 3 6 2 3 2" xfId="3425"/>
    <cellStyle name="Comma 2 3 6 2 4" xfId="2509"/>
    <cellStyle name="Comma 2 3 6 3" xfId="729"/>
    <cellStyle name="Comma 2 3 6 3 2" xfId="1773"/>
    <cellStyle name="Comma 2 3 6 3 2 2" xfId="3650"/>
    <cellStyle name="Comma 2 3 6 3 3" xfId="2734"/>
    <cellStyle name="Comma 2 3 6 4" xfId="1253"/>
    <cellStyle name="Comma 2 3 6 4 2" xfId="3194"/>
    <cellStyle name="Comma 2 3 6 5" xfId="2278"/>
    <cellStyle name="Comma 2 3 7" xfId="75"/>
    <cellStyle name="Comma 2 3 7 2" xfId="362"/>
    <cellStyle name="Comma 2 3 7 2 2" xfId="876"/>
    <cellStyle name="Comma 2 3 7 2 2 2" xfId="1920"/>
    <cellStyle name="Comma 2 3 7 2 2 2 2" xfId="3767"/>
    <cellStyle name="Comma 2 3 7 2 2 3" xfId="2851"/>
    <cellStyle name="Comma 2 3 7 2 3" xfId="1406"/>
    <cellStyle name="Comma 2 3 7 2 3 2" xfId="3317"/>
    <cellStyle name="Comma 2 3 7 2 4" xfId="2401"/>
    <cellStyle name="Comma 2 3 7 3" xfId="619"/>
    <cellStyle name="Comma 2 3 7 3 2" xfId="1663"/>
    <cellStyle name="Comma 2 3 7 3 2 2" xfId="3542"/>
    <cellStyle name="Comma 2 3 7 3 3" xfId="2626"/>
    <cellStyle name="Comma 2 3 7 4" xfId="1135"/>
    <cellStyle name="Comma 2 3 7 4 2" xfId="3078"/>
    <cellStyle name="Comma 2 3 7 5" xfId="2162"/>
    <cellStyle name="Comma 2 3 8" xfId="338"/>
    <cellStyle name="Comma 2 3 8 2" xfId="852"/>
    <cellStyle name="Comma 2 3 8 2 2" xfId="1896"/>
    <cellStyle name="Comma 2 3 8 2 2 2" xfId="3756"/>
    <cellStyle name="Comma 2 3 8 2 3" xfId="2840"/>
    <cellStyle name="Comma 2 3 8 3" xfId="1382"/>
    <cellStyle name="Comma 2 3 8 3 2" xfId="3306"/>
    <cellStyle name="Comma 2 3 8 4" xfId="2390"/>
    <cellStyle name="Comma 2 3 9" xfId="595"/>
    <cellStyle name="Comma 2 3 9 2" xfId="1639"/>
    <cellStyle name="Comma 2 3 9 2 2" xfId="3531"/>
    <cellStyle name="Comma 2 3 9 3" xfId="2615"/>
    <cellStyle name="Comma 2 4" xfId="59"/>
    <cellStyle name="Comma 2 4 10" xfId="1119"/>
    <cellStyle name="Comma 2 4 10 2" xfId="3070"/>
    <cellStyle name="Comma 2 4 11" xfId="2154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2 2" xfId="3977"/>
    <cellStyle name="Comma 2 4 2 2 2 2 2 2 3" xfId="3061"/>
    <cellStyle name="Comma 2 4 2 2 2 2 2 3" xfId="1618"/>
    <cellStyle name="Comma 2 4 2 2 2 2 2 3 2" xfId="3527"/>
    <cellStyle name="Comma 2 4 2 2 2 2 2 4" xfId="2611"/>
    <cellStyle name="Comma 2 4 2 2 2 2 3" xfId="831"/>
    <cellStyle name="Comma 2 4 2 2 2 2 3 2" xfId="1875"/>
    <cellStyle name="Comma 2 4 2 2 2 2 3 2 2" xfId="3752"/>
    <cellStyle name="Comma 2 4 2 2 2 2 3 3" xfId="2836"/>
    <cellStyle name="Comma 2 4 2 2 2 2 4" xfId="1361"/>
    <cellStyle name="Comma 2 4 2 2 2 2 4 2" xfId="3302"/>
    <cellStyle name="Comma 2 4 2 2 2 2 5" xfId="2386"/>
    <cellStyle name="Comma 2 4 2 2 2 3" xfId="466"/>
    <cellStyle name="Comma 2 4 2 2 2 3 2" xfId="980"/>
    <cellStyle name="Comma 2 4 2 2 2 3 2 2" xfId="2024"/>
    <cellStyle name="Comma 2 4 2 2 2 3 2 2 2" xfId="3869"/>
    <cellStyle name="Comma 2 4 2 2 2 3 2 3" xfId="2953"/>
    <cellStyle name="Comma 2 4 2 2 2 3 3" xfId="1510"/>
    <cellStyle name="Comma 2 4 2 2 2 3 3 2" xfId="3419"/>
    <cellStyle name="Comma 2 4 2 2 2 3 4" xfId="2503"/>
    <cellStyle name="Comma 2 4 2 2 2 4" xfId="723"/>
    <cellStyle name="Comma 2 4 2 2 2 4 2" xfId="1767"/>
    <cellStyle name="Comma 2 4 2 2 2 4 2 2" xfId="3644"/>
    <cellStyle name="Comma 2 4 2 2 2 4 3" xfId="2728"/>
    <cellStyle name="Comma 2 4 2 2 2 5" xfId="1247"/>
    <cellStyle name="Comma 2 4 2 2 2 5 2" xfId="3188"/>
    <cellStyle name="Comma 2 4 2 2 2 6" xfId="2272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2 2" xfId="3941"/>
    <cellStyle name="Comma 2 4 2 2 3 2 2 2 3" xfId="3025"/>
    <cellStyle name="Comma 2 4 2 2 3 2 2 3" xfId="1582"/>
    <cellStyle name="Comma 2 4 2 2 3 2 2 3 2" xfId="3491"/>
    <cellStyle name="Comma 2 4 2 2 3 2 2 4" xfId="2575"/>
    <cellStyle name="Comma 2 4 2 2 3 2 3" xfId="795"/>
    <cellStyle name="Comma 2 4 2 2 3 2 3 2" xfId="1839"/>
    <cellStyle name="Comma 2 4 2 2 3 2 3 2 2" xfId="3716"/>
    <cellStyle name="Comma 2 4 2 2 3 2 3 3" xfId="2800"/>
    <cellStyle name="Comma 2 4 2 2 3 2 4" xfId="1323"/>
    <cellStyle name="Comma 2 4 2 2 3 2 4 2" xfId="3264"/>
    <cellStyle name="Comma 2 4 2 2 3 2 5" xfId="2348"/>
    <cellStyle name="Comma 2 4 2 2 3 3" xfId="430"/>
    <cellStyle name="Comma 2 4 2 2 3 3 2" xfId="944"/>
    <cellStyle name="Comma 2 4 2 2 3 3 2 2" xfId="1988"/>
    <cellStyle name="Comma 2 4 2 2 3 3 2 2 2" xfId="3833"/>
    <cellStyle name="Comma 2 4 2 2 3 3 2 3" xfId="2917"/>
    <cellStyle name="Comma 2 4 2 2 3 3 3" xfId="1474"/>
    <cellStyle name="Comma 2 4 2 2 3 3 3 2" xfId="3383"/>
    <cellStyle name="Comma 2 4 2 2 3 3 4" xfId="2467"/>
    <cellStyle name="Comma 2 4 2 2 3 4" xfId="687"/>
    <cellStyle name="Comma 2 4 2 2 3 4 2" xfId="1731"/>
    <cellStyle name="Comma 2 4 2 2 3 4 2 2" xfId="3608"/>
    <cellStyle name="Comma 2 4 2 2 3 4 3" xfId="2692"/>
    <cellStyle name="Comma 2 4 2 2 3 5" xfId="1209"/>
    <cellStyle name="Comma 2 4 2 2 3 5 2" xfId="3150"/>
    <cellStyle name="Comma 2 4 2 2 3 6" xfId="2234"/>
    <cellStyle name="Comma 2 4 2 2 4" xfId="234"/>
    <cellStyle name="Comma 2 4 2 2 4 2" xfId="502"/>
    <cellStyle name="Comma 2 4 2 2 4 2 2" xfId="1016"/>
    <cellStyle name="Comma 2 4 2 2 4 2 2 2" xfId="2060"/>
    <cellStyle name="Comma 2 4 2 2 4 2 2 2 2" xfId="3905"/>
    <cellStyle name="Comma 2 4 2 2 4 2 2 3" xfId="2989"/>
    <cellStyle name="Comma 2 4 2 2 4 2 3" xfId="1546"/>
    <cellStyle name="Comma 2 4 2 2 4 2 3 2" xfId="3455"/>
    <cellStyle name="Comma 2 4 2 2 4 2 4" xfId="2539"/>
    <cellStyle name="Comma 2 4 2 2 4 3" xfId="759"/>
    <cellStyle name="Comma 2 4 2 2 4 3 2" xfId="1803"/>
    <cellStyle name="Comma 2 4 2 2 4 3 2 2" xfId="3680"/>
    <cellStyle name="Comma 2 4 2 2 4 3 3" xfId="2764"/>
    <cellStyle name="Comma 2 4 2 2 4 4" xfId="1285"/>
    <cellStyle name="Comma 2 4 2 2 4 4 2" xfId="3226"/>
    <cellStyle name="Comma 2 4 2 2 4 5" xfId="2310"/>
    <cellStyle name="Comma 2 4 2 2 5" xfId="394"/>
    <cellStyle name="Comma 2 4 2 2 5 2" xfId="908"/>
    <cellStyle name="Comma 2 4 2 2 5 2 2" xfId="1952"/>
    <cellStyle name="Comma 2 4 2 2 5 2 2 2" xfId="3797"/>
    <cellStyle name="Comma 2 4 2 2 5 2 3" xfId="2881"/>
    <cellStyle name="Comma 2 4 2 2 5 3" xfId="1438"/>
    <cellStyle name="Comma 2 4 2 2 5 3 2" xfId="3347"/>
    <cellStyle name="Comma 2 4 2 2 5 4" xfId="2431"/>
    <cellStyle name="Comma 2 4 2 2 6" xfId="651"/>
    <cellStyle name="Comma 2 4 2 2 6 2" xfId="1695"/>
    <cellStyle name="Comma 2 4 2 2 6 2 2" xfId="3572"/>
    <cellStyle name="Comma 2 4 2 2 6 3" xfId="2656"/>
    <cellStyle name="Comma 2 4 2 2 7" xfId="1171"/>
    <cellStyle name="Comma 2 4 2 2 7 2" xfId="3112"/>
    <cellStyle name="Comma 2 4 2 2 8" xfId="2196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2 2" xfId="3959"/>
    <cellStyle name="Comma 2 4 2 3 2 2 2 3" xfId="3043"/>
    <cellStyle name="Comma 2 4 2 3 2 2 3" xfId="1600"/>
    <cellStyle name="Comma 2 4 2 3 2 2 3 2" xfId="3509"/>
    <cellStyle name="Comma 2 4 2 3 2 2 4" xfId="2593"/>
    <cellStyle name="Comma 2 4 2 3 2 3" xfId="813"/>
    <cellStyle name="Comma 2 4 2 3 2 3 2" xfId="1857"/>
    <cellStyle name="Comma 2 4 2 3 2 3 2 2" xfId="3734"/>
    <cellStyle name="Comma 2 4 2 3 2 3 3" xfId="2818"/>
    <cellStyle name="Comma 2 4 2 3 2 4" xfId="1342"/>
    <cellStyle name="Comma 2 4 2 3 2 4 2" xfId="3283"/>
    <cellStyle name="Comma 2 4 2 3 2 5" xfId="2367"/>
    <cellStyle name="Comma 2 4 2 3 3" xfId="448"/>
    <cellStyle name="Comma 2 4 2 3 3 2" xfId="962"/>
    <cellStyle name="Comma 2 4 2 3 3 2 2" xfId="2006"/>
    <cellStyle name="Comma 2 4 2 3 3 2 2 2" xfId="3851"/>
    <cellStyle name="Comma 2 4 2 3 3 2 3" xfId="2935"/>
    <cellStyle name="Comma 2 4 2 3 3 3" xfId="1492"/>
    <cellStyle name="Comma 2 4 2 3 3 3 2" xfId="3401"/>
    <cellStyle name="Comma 2 4 2 3 3 4" xfId="2485"/>
    <cellStyle name="Comma 2 4 2 3 4" xfId="705"/>
    <cellStyle name="Comma 2 4 2 3 4 2" xfId="1749"/>
    <cellStyle name="Comma 2 4 2 3 4 2 2" xfId="3626"/>
    <cellStyle name="Comma 2 4 2 3 4 3" xfId="2710"/>
    <cellStyle name="Comma 2 4 2 3 5" xfId="1228"/>
    <cellStyle name="Comma 2 4 2 3 5 2" xfId="3169"/>
    <cellStyle name="Comma 2 4 2 3 6" xfId="2253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2 2" xfId="3923"/>
    <cellStyle name="Comma 2 4 2 4 2 2 2 3" xfId="3007"/>
    <cellStyle name="Comma 2 4 2 4 2 2 3" xfId="1564"/>
    <cellStyle name="Comma 2 4 2 4 2 2 3 2" xfId="3473"/>
    <cellStyle name="Comma 2 4 2 4 2 2 4" xfId="2557"/>
    <cellStyle name="Comma 2 4 2 4 2 3" xfId="777"/>
    <cellStyle name="Comma 2 4 2 4 2 3 2" xfId="1821"/>
    <cellStyle name="Comma 2 4 2 4 2 3 2 2" xfId="3698"/>
    <cellStyle name="Comma 2 4 2 4 2 3 3" xfId="2782"/>
    <cellStyle name="Comma 2 4 2 4 2 4" xfId="1304"/>
    <cellStyle name="Comma 2 4 2 4 2 4 2" xfId="3245"/>
    <cellStyle name="Comma 2 4 2 4 2 5" xfId="2329"/>
    <cellStyle name="Comma 2 4 2 4 3" xfId="412"/>
    <cellStyle name="Comma 2 4 2 4 3 2" xfId="926"/>
    <cellStyle name="Comma 2 4 2 4 3 2 2" xfId="1970"/>
    <cellStyle name="Comma 2 4 2 4 3 2 2 2" xfId="3815"/>
    <cellStyle name="Comma 2 4 2 4 3 2 3" xfId="2899"/>
    <cellStyle name="Comma 2 4 2 4 3 3" xfId="1456"/>
    <cellStyle name="Comma 2 4 2 4 3 3 2" xfId="3365"/>
    <cellStyle name="Comma 2 4 2 4 3 4" xfId="2449"/>
    <cellStyle name="Comma 2 4 2 4 4" xfId="669"/>
    <cellStyle name="Comma 2 4 2 4 4 2" xfId="1713"/>
    <cellStyle name="Comma 2 4 2 4 4 2 2" xfId="3590"/>
    <cellStyle name="Comma 2 4 2 4 4 3" xfId="2674"/>
    <cellStyle name="Comma 2 4 2 4 5" xfId="1190"/>
    <cellStyle name="Comma 2 4 2 4 5 2" xfId="3131"/>
    <cellStyle name="Comma 2 4 2 4 6" xfId="2215"/>
    <cellStyle name="Comma 2 4 2 5" xfId="214"/>
    <cellStyle name="Comma 2 4 2 5 2" xfId="484"/>
    <cellStyle name="Comma 2 4 2 5 2 2" xfId="998"/>
    <cellStyle name="Comma 2 4 2 5 2 2 2" xfId="2042"/>
    <cellStyle name="Comma 2 4 2 5 2 2 2 2" xfId="3887"/>
    <cellStyle name="Comma 2 4 2 5 2 2 3" xfId="2971"/>
    <cellStyle name="Comma 2 4 2 5 2 3" xfId="1528"/>
    <cellStyle name="Comma 2 4 2 5 2 3 2" xfId="3437"/>
    <cellStyle name="Comma 2 4 2 5 2 4" xfId="2521"/>
    <cellStyle name="Comma 2 4 2 5 3" xfId="741"/>
    <cellStyle name="Comma 2 4 2 5 3 2" xfId="1785"/>
    <cellStyle name="Comma 2 4 2 5 3 2 2" xfId="3662"/>
    <cellStyle name="Comma 2 4 2 5 3 3" xfId="2746"/>
    <cellStyle name="Comma 2 4 2 5 4" xfId="1266"/>
    <cellStyle name="Comma 2 4 2 5 4 2" xfId="3207"/>
    <cellStyle name="Comma 2 4 2 5 5" xfId="2291"/>
    <cellStyle name="Comma 2 4 2 6" xfId="376"/>
    <cellStyle name="Comma 2 4 2 6 2" xfId="890"/>
    <cellStyle name="Comma 2 4 2 6 2 2" xfId="1934"/>
    <cellStyle name="Comma 2 4 2 6 2 2 2" xfId="3779"/>
    <cellStyle name="Comma 2 4 2 6 2 3" xfId="2863"/>
    <cellStyle name="Comma 2 4 2 6 3" xfId="1420"/>
    <cellStyle name="Comma 2 4 2 6 3 2" xfId="3329"/>
    <cellStyle name="Comma 2 4 2 6 4" xfId="2413"/>
    <cellStyle name="Comma 2 4 2 7" xfId="633"/>
    <cellStyle name="Comma 2 4 2 7 2" xfId="1677"/>
    <cellStyle name="Comma 2 4 2 7 2 2" xfId="3554"/>
    <cellStyle name="Comma 2 4 2 7 3" xfId="2638"/>
    <cellStyle name="Comma 2 4 2 8" xfId="1152"/>
    <cellStyle name="Comma 2 4 2 8 2" xfId="3093"/>
    <cellStyle name="Comma 2 4 2 9" xfId="2177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2 2" xfId="3968"/>
    <cellStyle name="Comma 2 4 3 2 2 2 2 3" xfId="3052"/>
    <cellStyle name="Comma 2 4 3 2 2 2 3" xfId="1609"/>
    <cellStyle name="Comma 2 4 3 2 2 2 3 2" xfId="3518"/>
    <cellStyle name="Comma 2 4 3 2 2 2 4" xfId="2602"/>
    <cellStyle name="Comma 2 4 3 2 2 3" xfId="822"/>
    <cellStyle name="Comma 2 4 3 2 2 3 2" xfId="1866"/>
    <cellStyle name="Comma 2 4 3 2 2 3 2 2" xfId="3743"/>
    <cellStyle name="Comma 2 4 3 2 2 3 3" xfId="2827"/>
    <cellStyle name="Comma 2 4 3 2 2 4" xfId="1351"/>
    <cellStyle name="Comma 2 4 3 2 2 4 2" xfId="3292"/>
    <cellStyle name="Comma 2 4 3 2 2 5" xfId="2376"/>
    <cellStyle name="Comma 2 4 3 2 3" xfId="457"/>
    <cellStyle name="Comma 2 4 3 2 3 2" xfId="971"/>
    <cellStyle name="Comma 2 4 3 2 3 2 2" xfId="2015"/>
    <cellStyle name="Comma 2 4 3 2 3 2 2 2" xfId="3860"/>
    <cellStyle name="Comma 2 4 3 2 3 2 3" xfId="2944"/>
    <cellStyle name="Comma 2 4 3 2 3 3" xfId="1501"/>
    <cellStyle name="Comma 2 4 3 2 3 3 2" xfId="3410"/>
    <cellStyle name="Comma 2 4 3 2 3 4" xfId="2494"/>
    <cellStyle name="Comma 2 4 3 2 4" xfId="714"/>
    <cellStyle name="Comma 2 4 3 2 4 2" xfId="1758"/>
    <cellStyle name="Comma 2 4 3 2 4 2 2" xfId="3635"/>
    <cellStyle name="Comma 2 4 3 2 4 3" xfId="2719"/>
    <cellStyle name="Comma 2 4 3 2 5" xfId="1237"/>
    <cellStyle name="Comma 2 4 3 2 5 2" xfId="3178"/>
    <cellStyle name="Comma 2 4 3 2 6" xfId="2262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2 2" xfId="3932"/>
    <cellStyle name="Comma 2 4 3 3 2 2 2 3" xfId="3016"/>
    <cellStyle name="Comma 2 4 3 3 2 2 3" xfId="1573"/>
    <cellStyle name="Comma 2 4 3 3 2 2 3 2" xfId="3482"/>
    <cellStyle name="Comma 2 4 3 3 2 2 4" xfId="2566"/>
    <cellStyle name="Comma 2 4 3 3 2 3" xfId="786"/>
    <cellStyle name="Comma 2 4 3 3 2 3 2" xfId="1830"/>
    <cellStyle name="Comma 2 4 3 3 2 3 2 2" xfId="3707"/>
    <cellStyle name="Comma 2 4 3 3 2 3 3" xfId="2791"/>
    <cellStyle name="Comma 2 4 3 3 2 4" xfId="1313"/>
    <cellStyle name="Comma 2 4 3 3 2 4 2" xfId="3254"/>
    <cellStyle name="Comma 2 4 3 3 2 5" xfId="2338"/>
    <cellStyle name="Comma 2 4 3 3 3" xfId="421"/>
    <cellStyle name="Comma 2 4 3 3 3 2" xfId="935"/>
    <cellStyle name="Comma 2 4 3 3 3 2 2" xfId="1979"/>
    <cellStyle name="Comma 2 4 3 3 3 2 2 2" xfId="3824"/>
    <cellStyle name="Comma 2 4 3 3 3 2 3" xfId="2908"/>
    <cellStyle name="Comma 2 4 3 3 3 3" xfId="1465"/>
    <cellStyle name="Comma 2 4 3 3 3 3 2" xfId="3374"/>
    <cellStyle name="Comma 2 4 3 3 3 4" xfId="2458"/>
    <cellStyle name="Comma 2 4 3 3 4" xfId="678"/>
    <cellStyle name="Comma 2 4 3 3 4 2" xfId="1722"/>
    <cellStyle name="Comma 2 4 3 3 4 2 2" xfId="3599"/>
    <cellStyle name="Comma 2 4 3 3 4 3" xfId="2683"/>
    <cellStyle name="Comma 2 4 3 3 5" xfId="1199"/>
    <cellStyle name="Comma 2 4 3 3 5 2" xfId="3140"/>
    <cellStyle name="Comma 2 4 3 3 6" xfId="2224"/>
    <cellStyle name="Comma 2 4 3 4" xfId="224"/>
    <cellStyle name="Comma 2 4 3 4 2" xfId="493"/>
    <cellStyle name="Comma 2 4 3 4 2 2" xfId="1007"/>
    <cellStyle name="Comma 2 4 3 4 2 2 2" xfId="2051"/>
    <cellStyle name="Comma 2 4 3 4 2 2 2 2" xfId="3896"/>
    <cellStyle name="Comma 2 4 3 4 2 2 3" xfId="2980"/>
    <cellStyle name="Comma 2 4 3 4 2 3" xfId="1537"/>
    <cellStyle name="Comma 2 4 3 4 2 3 2" xfId="3446"/>
    <cellStyle name="Comma 2 4 3 4 2 4" xfId="2530"/>
    <cellStyle name="Comma 2 4 3 4 3" xfId="750"/>
    <cellStyle name="Comma 2 4 3 4 3 2" xfId="1794"/>
    <cellStyle name="Comma 2 4 3 4 3 2 2" xfId="3671"/>
    <cellStyle name="Comma 2 4 3 4 3 3" xfId="2755"/>
    <cellStyle name="Comma 2 4 3 4 4" xfId="1275"/>
    <cellStyle name="Comma 2 4 3 4 4 2" xfId="3216"/>
    <cellStyle name="Comma 2 4 3 4 5" xfId="2300"/>
    <cellStyle name="Comma 2 4 3 5" xfId="385"/>
    <cellStyle name="Comma 2 4 3 5 2" xfId="899"/>
    <cellStyle name="Comma 2 4 3 5 2 2" xfId="1943"/>
    <cellStyle name="Comma 2 4 3 5 2 2 2" xfId="3788"/>
    <cellStyle name="Comma 2 4 3 5 2 3" xfId="2872"/>
    <cellStyle name="Comma 2 4 3 5 3" xfId="1429"/>
    <cellStyle name="Comma 2 4 3 5 3 2" xfId="3338"/>
    <cellStyle name="Comma 2 4 3 5 4" xfId="2422"/>
    <cellStyle name="Comma 2 4 3 6" xfId="642"/>
    <cellStyle name="Comma 2 4 3 6 2" xfId="1686"/>
    <cellStyle name="Comma 2 4 3 6 2 2" xfId="3563"/>
    <cellStyle name="Comma 2 4 3 6 3" xfId="2647"/>
    <cellStyle name="Comma 2 4 3 7" xfId="1161"/>
    <cellStyle name="Comma 2 4 3 7 2" xfId="3102"/>
    <cellStyle name="Comma 2 4 3 8" xfId="2186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2 2" xfId="3950"/>
    <cellStyle name="Comma 2 4 4 2 2 2 3" xfId="3034"/>
    <cellStyle name="Comma 2 4 4 2 2 3" xfId="1591"/>
    <cellStyle name="Comma 2 4 4 2 2 3 2" xfId="3500"/>
    <cellStyle name="Comma 2 4 4 2 2 4" xfId="2584"/>
    <cellStyle name="Comma 2 4 4 2 3" xfId="804"/>
    <cellStyle name="Comma 2 4 4 2 3 2" xfId="1848"/>
    <cellStyle name="Comma 2 4 4 2 3 2 2" xfId="3725"/>
    <cellStyle name="Comma 2 4 4 2 3 3" xfId="2809"/>
    <cellStyle name="Comma 2 4 4 2 4" xfId="1332"/>
    <cellStyle name="Comma 2 4 4 2 4 2" xfId="3273"/>
    <cellStyle name="Comma 2 4 4 2 5" xfId="2357"/>
    <cellStyle name="Comma 2 4 4 3" xfId="439"/>
    <cellStyle name="Comma 2 4 4 3 2" xfId="953"/>
    <cellStyle name="Comma 2 4 4 3 2 2" xfId="1997"/>
    <cellStyle name="Comma 2 4 4 3 2 2 2" xfId="3842"/>
    <cellStyle name="Comma 2 4 4 3 2 3" xfId="2926"/>
    <cellStyle name="Comma 2 4 4 3 3" xfId="1483"/>
    <cellStyle name="Comma 2 4 4 3 3 2" xfId="3392"/>
    <cellStyle name="Comma 2 4 4 3 4" xfId="2476"/>
    <cellStyle name="Comma 2 4 4 4" xfId="696"/>
    <cellStyle name="Comma 2 4 4 4 2" xfId="1740"/>
    <cellStyle name="Comma 2 4 4 4 2 2" xfId="3617"/>
    <cellStyle name="Comma 2 4 4 4 3" xfId="2701"/>
    <cellStyle name="Comma 2 4 4 5" xfId="1218"/>
    <cellStyle name="Comma 2 4 4 5 2" xfId="3159"/>
    <cellStyle name="Comma 2 4 4 6" xfId="2243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2 2" xfId="3914"/>
    <cellStyle name="Comma 2 4 5 2 2 2 3" xfId="2998"/>
    <cellStyle name="Comma 2 4 5 2 2 3" xfId="1555"/>
    <cellStyle name="Comma 2 4 5 2 2 3 2" xfId="3464"/>
    <cellStyle name="Comma 2 4 5 2 2 4" xfId="2548"/>
    <cellStyle name="Comma 2 4 5 2 3" xfId="768"/>
    <cellStyle name="Comma 2 4 5 2 3 2" xfId="1812"/>
    <cellStyle name="Comma 2 4 5 2 3 2 2" xfId="3689"/>
    <cellStyle name="Comma 2 4 5 2 3 3" xfId="2773"/>
    <cellStyle name="Comma 2 4 5 2 4" xfId="1294"/>
    <cellStyle name="Comma 2 4 5 2 4 2" xfId="3235"/>
    <cellStyle name="Comma 2 4 5 2 5" xfId="2319"/>
    <cellStyle name="Comma 2 4 5 3" xfId="403"/>
    <cellStyle name="Comma 2 4 5 3 2" xfId="917"/>
    <cellStyle name="Comma 2 4 5 3 2 2" xfId="1961"/>
    <cellStyle name="Comma 2 4 5 3 2 2 2" xfId="3806"/>
    <cellStyle name="Comma 2 4 5 3 2 3" xfId="2890"/>
    <cellStyle name="Comma 2 4 5 3 3" xfId="1447"/>
    <cellStyle name="Comma 2 4 5 3 3 2" xfId="3356"/>
    <cellStyle name="Comma 2 4 5 3 4" xfId="2440"/>
    <cellStyle name="Comma 2 4 5 4" xfId="660"/>
    <cellStyle name="Comma 2 4 5 4 2" xfId="1704"/>
    <cellStyle name="Comma 2 4 5 4 2 2" xfId="3581"/>
    <cellStyle name="Comma 2 4 5 4 3" xfId="2665"/>
    <cellStyle name="Comma 2 4 5 5" xfId="1180"/>
    <cellStyle name="Comma 2 4 5 5 2" xfId="3121"/>
    <cellStyle name="Comma 2 4 5 6" xfId="2205"/>
    <cellStyle name="Comma 2 4 6" xfId="204"/>
    <cellStyle name="Comma 2 4 6 2" xfId="475"/>
    <cellStyle name="Comma 2 4 6 2 2" xfId="989"/>
    <cellStyle name="Comma 2 4 6 2 2 2" xfId="2033"/>
    <cellStyle name="Comma 2 4 6 2 2 2 2" xfId="3878"/>
    <cellStyle name="Comma 2 4 6 2 2 3" xfId="2962"/>
    <cellStyle name="Comma 2 4 6 2 3" xfId="1519"/>
    <cellStyle name="Comma 2 4 6 2 3 2" xfId="3428"/>
    <cellStyle name="Comma 2 4 6 2 4" xfId="2512"/>
    <cellStyle name="Comma 2 4 6 3" xfId="732"/>
    <cellStyle name="Comma 2 4 6 3 2" xfId="1776"/>
    <cellStyle name="Comma 2 4 6 3 2 2" xfId="3653"/>
    <cellStyle name="Comma 2 4 6 3 3" xfId="2737"/>
    <cellStyle name="Comma 2 4 6 4" xfId="1256"/>
    <cellStyle name="Comma 2 4 6 4 2" xfId="3197"/>
    <cellStyle name="Comma 2 4 6 5" xfId="2281"/>
    <cellStyle name="Comma 2 4 7" xfId="78"/>
    <cellStyle name="Comma 2 4 7 2" xfId="365"/>
    <cellStyle name="Comma 2 4 7 2 2" xfId="879"/>
    <cellStyle name="Comma 2 4 7 2 2 2" xfId="1923"/>
    <cellStyle name="Comma 2 4 7 2 2 2 2" xfId="3770"/>
    <cellStyle name="Comma 2 4 7 2 2 3" xfId="2854"/>
    <cellStyle name="Comma 2 4 7 2 3" xfId="1409"/>
    <cellStyle name="Comma 2 4 7 2 3 2" xfId="3320"/>
    <cellStyle name="Comma 2 4 7 2 4" xfId="2404"/>
    <cellStyle name="Comma 2 4 7 3" xfId="622"/>
    <cellStyle name="Comma 2 4 7 3 2" xfId="1666"/>
    <cellStyle name="Comma 2 4 7 3 2 2" xfId="3545"/>
    <cellStyle name="Comma 2 4 7 3 3" xfId="2629"/>
    <cellStyle name="Comma 2 4 7 4" xfId="1138"/>
    <cellStyle name="Comma 2 4 7 4 2" xfId="3081"/>
    <cellStyle name="Comma 2 4 7 5" xfId="2165"/>
    <cellStyle name="Comma 2 4 8" xfId="346"/>
    <cellStyle name="Comma 2 4 8 2" xfId="860"/>
    <cellStyle name="Comma 2 4 8 2 2" xfId="1904"/>
    <cellStyle name="Comma 2 4 8 2 2 2" xfId="3759"/>
    <cellStyle name="Comma 2 4 8 2 3" xfId="2843"/>
    <cellStyle name="Comma 2 4 8 3" xfId="1390"/>
    <cellStyle name="Comma 2 4 8 3 2" xfId="3309"/>
    <cellStyle name="Comma 2 4 8 4" xfId="2393"/>
    <cellStyle name="Comma 2 4 9" xfId="603"/>
    <cellStyle name="Comma 2 4 9 2" xfId="1647"/>
    <cellStyle name="Comma 2 4 9 2 2" xfId="3534"/>
    <cellStyle name="Comma 2 4 9 3" xfId="2618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2 2" xfId="3971"/>
    <cellStyle name="Comma 2 5 2 2 2 2 2 3" xfId="3055"/>
    <cellStyle name="Comma 2 5 2 2 2 2 3" xfId="1612"/>
    <cellStyle name="Comma 2 5 2 2 2 2 3 2" xfId="3521"/>
    <cellStyle name="Comma 2 5 2 2 2 2 4" xfId="2605"/>
    <cellStyle name="Comma 2 5 2 2 2 3" xfId="825"/>
    <cellStyle name="Comma 2 5 2 2 2 3 2" xfId="1869"/>
    <cellStyle name="Comma 2 5 2 2 2 3 2 2" xfId="3746"/>
    <cellStyle name="Comma 2 5 2 2 2 3 3" xfId="2830"/>
    <cellStyle name="Comma 2 5 2 2 2 4" xfId="1355"/>
    <cellStyle name="Comma 2 5 2 2 2 4 2" xfId="3296"/>
    <cellStyle name="Comma 2 5 2 2 2 5" xfId="2380"/>
    <cellStyle name="Comma 2 5 2 2 3" xfId="460"/>
    <cellStyle name="Comma 2 5 2 2 3 2" xfId="974"/>
    <cellStyle name="Comma 2 5 2 2 3 2 2" xfId="2018"/>
    <cellStyle name="Comma 2 5 2 2 3 2 2 2" xfId="3863"/>
    <cellStyle name="Comma 2 5 2 2 3 2 3" xfId="2947"/>
    <cellStyle name="Comma 2 5 2 2 3 3" xfId="1504"/>
    <cellStyle name="Comma 2 5 2 2 3 3 2" xfId="3413"/>
    <cellStyle name="Comma 2 5 2 2 3 4" xfId="2497"/>
    <cellStyle name="Comma 2 5 2 2 4" xfId="717"/>
    <cellStyle name="Comma 2 5 2 2 4 2" xfId="1761"/>
    <cellStyle name="Comma 2 5 2 2 4 2 2" xfId="3638"/>
    <cellStyle name="Comma 2 5 2 2 4 3" xfId="2722"/>
    <cellStyle name="Comma 2 5 2 2 5" xfId="1241"/>
    <cellStyle name="Comma 2 5 2 2 5 2" xfId="3182"/>
    <cellStyle name="Comma 2 5 2 2 6" xfId="2266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2 2" xfId="3935"/>
    <cellStyle name="Comma 2 5 2 3 2 2 2 3" xfId="3019"/>
    <cellStyle name="Comma 2 5 2 3 2 2 3" xfId="1576"/>
    <cellStyle name="Comma 2 5 2 3 2 2 3 2" xfId="3485"/>
    <cellStyle name="Comma 2 5 2 3 2 2 4" xfId="2569"/>
    <cellStyle name="Comma 2 5 2 3 2 3" xfId="789"/>
    <cellStyle name="Comma 2 5 2 3 2 3 2" xfId="1833"/>
    <cellStyle name="Comma 2 5 2 3 2 3 2 2" xfId="3710"/>
    <cellStyle name="Comma 2 5 2 3 2 3 3" xfId="2794"/>
    <cellStyle name="Comma 2 5 2 3 2 4" xfId="1317"/>
    <cellStyle name="Comma 2 5 2 3 2 4 2" xfId="3258"/>
    <cellStyle name="Comma 2 5 2 3 2 5" xfId="2342"/>
    <cellStyle name="Comma 2 5 2 3 3" xfId="424"/>
    <cellStyle name="Comma 2 5 2 3 3 2" xfId="938"/>
    <cellStyle name="Comma 2 5 2 3 3 2 2" xfId="1982"/>
    <cellStyle name="Comma 2 5 2 3 3 2 2 2" xfId="3827"/>
    <cellStyle name="Comma 2 5 2 3 3 2 3" xfId="2911"/>
    <cellStyle name="Comma 2 5 2 3 3 3" xfId="1468"/>
    <cellStyle name="Comma 2 5 2 3 3 3 2" xfId="3377"/>
    <cellStyle name="Comma 2 5 2 3 3 4" xfId="2461"/>
    <cellStyle name="Comma 2 5 2 3 4" xfId="681"/>
    <cellStyle name="Comma 2 5 2 3 4 2" xfId="1725"/>
    <cellStyle name="Comma 2 5 2 3 4 2 2" xfId="3602"/>
    <cellStyle name="Comma 2 5 2 3 4 3" xfId="2686"/>
    <cellStyle name="Comma 2 5 2 3 5" xfId="1203"/>
    <cellStyle name="Comma 2 5 2 3 5 2" xfId="3144"/>
    <cellStyle name="Comma 2 5 2 3 6" xfId="2228"/>
    <cellStyle name="Comma 2 5 2 4" xfId="228"/>
    <cellStyle name="Comma 2 5 2 4 2" xfId="496"/>
    <cellStyle name="Comma 2 5 2 4 2 2" xfId="1010"/>
    <cellStyle name="Comma 2 5 2 4 2 2 2" xfId="2054"/>
    <cellStyle name="Comma 2 5 2 4 2 2 2 2" xfId="3899"/>
    <cellStyle name="Comma 2 5 2 4 2 2 3" xfId="2983"/>
    <cellStyle name="Comma 2 5 2 4 2 3" xfId="1540"/>
    <cellStyle name="Comma 2 5 2 4 2 3 2" xfId="3449"/>
    <cellStyle name="Comma 2 5 2 4 2 4" xfId="2533"/>
    <cellStyle name="Comma 2 5 2 4 3" xfId="753"/>
    <cellStyle name="Comma 2 5 2 4 3 2" xfId="1797"/>
    <cellStyle name="Comma 2 5 2 4 3 2 2" xfId="3674"/>
    <cellStyle name="Comma 2 5 2 4 3 3" xfId="2758"/>
    <cellStyle name="Comma 2 5 2 4 4" xfId="1279"/>
    <cellStyle name="Comma 2 5 2 4 4 2" xfId="3220"/>
    <cellStyle name="Comma 2 5 2 4 5" xfId="2304"/>
    <cellStyle name="Comma 2 5 2 5" xfId="388"/>
    <cellStyle name="Comma 2 5 2 5 2" xfId="902"/>
    <cellStyle name="Comma 2 5 2 5 2 2" xfId="1946"/>
    <cellStyle name="Comma 2 5 2 5 2 2 2" xfId="3791"/>
    <cellStyle name="Comma 2 5 2 5 2 3" xfId="2875"/>
    <cellStyle name="Comma 2 5 2 5 3" xfId="1432"/>
    <cellStyle name="Comma 2 5 2 5 3 2" xfId="3341"/>
    <cellStyle name="Comma 2 5 2 5 4" xfId="2425"/>
    <cellStyle name="Comma 2 5 2 6" xfId="645"/>
    <cellStyle name="Comma 2 5 2 6 2" xfId="1689"/>
    <cellStyle name="Comma 2 5 2 6 2 2" xfId="3566"/>
    <cellStyle name="Comma 2 5 2 6 3" xfId="2650"/>
    <cellStyle name="Comma 2 5 2 7" xfId="1165"/>
    <cellStyle name="Comma 2 5 2 7 2" xfId="3106"/>
    <cellStyle name="Comma 2 5 2 8" xfId="2190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2 2" xfId="3953"/>
    <cellStyle name="Comma 2 5 3 2 2 2 3" xfId="3037"/>
    <cellStyle name="Comma 2 5 3 2 2 3" xfId="1594"/>
    <cellStyle name="Comma 2 5 3 2 2 3 2" xfId="3503"/>
    <cellStyle name="Comma 2 5 3 2 2 4" xfId="2587"/>
    <cellStyle name="Comma 2 5 3 2 3" xfId="807"/>
    <cellStyle name="Comma 2 5 3 2 3 2" xfId="1851"/>
    <cellStyle name="Comma 2 5 3 2 3 2 2" xfId="3728"/>
    <cellStyle name="Comma 2 5 3 2 3 3" xfId="2812"/>
    <cellStyle name="Comma 2 5 3 2 4" xfId="1336"/>
    <cellStyle name="Comma 2 5 3 2 4 2" xfId="3277"/>
    <cellStyle name="Comma 2 5 3 2 5" xfId="2361"/>
    <cellStyle name="Comma 2 5 3 3" xfId="442"/>
    <cellStyle name="Comma 2 5 3 3 2" xfId="956"/>
    <cellStyle name="Comma 2 5 3 3 2 2" xfId="2000"/>
    <cellStyle name="Comma 2 5 3 3 2 2 2" xfId="3845"/>
    <cellStyle name="Comma 2 5 3 3 2 3" xfId="2929"/>
    <cellStyle name="Comma 2 5 3 3 3" xfId="1486"/>
    <cellStyle name="Comma 2 5 3 3 3 2" xfId="3395"/>
    <cellStyle name="Comma 2 5 3 3 4" xfId="2479"/>
    <cellStyle name="Comma 2 5 3 4" xfId="699"/>
    <cellStyle name="Comma 2 5 3 4 2" xfId="1743"/>
    <cellStyle name="Comma 2 5 3 4 2 2" xfId="3620"/>
    <cellStyle name="Comma 2 5 3 4 3" xfId="2704"/>
    <cellStyle name="Comma 2 5 3 5" xfId="1222"/>
    <cellStyle name="Comma 2 5 3 5 2" xfId="3163"/>
    <cellStyle name="Comma 2 5 3 6" xfId="2247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2 2" xfId="3917"/>
    <cellStyle name="Comma 2 5 4 2 2 2 3" xfId="3001"/>
    <cellStyle name="Comma 2 5 4 2 2 3" xfId="1558"/>
    <cellStyle name="Comma 2 5 4 2 2 3 2" xfId="3467"/>
    <cellStyle name="Comma 2 5 4 2 2 4" xfId="2551"/>
    <cellStyle name="Comma 2 5 4 2 3" xfId="771"/>
    <cellStyle name="Comma 2 5 4 2 3 2" xfId="1815"/>
    <cellStyle name="Comma 2 5 4 2 3 2 2" xfId="3692"/>
    <cellStyle name="Comma 2 5 4 2 3 3" xfId="2776"/>
    <cellStyle name="Comma 2 5 4 2 4" xfId="1298"/>
    <cellStyle name="Comma 2 5 4 2 4 2" xfId="3239"/>
    <cellStyle name="Comma 2 5 4 2 5" xfId="2323"/>
    <cellStyle name="Comma 2 5 4 3" xfId="406"/>
    <cellStyle name="Comma 2 5 4 3 2" xfId="920"/>
    <cellStyle name="Comma 2 5 4 3 2 2" xfId="1964"/>
    <cellStyle name="Comma 2 5 4 3 2 2 2" xfId="3809"/>
    <cellStyle name="Comma 2 5 4 3 2 3" xfId="2893"/>
    <cellStyle name="Comma 2 5 4 3 3" xfId="1450"/>
    <cellStyle name="Comma 2 5 4 3 3 2" xfId="3359"/>
    <cellStyle name="Comma 2 5 4 3 4" xfId="2443"/>
    <cellStyle name="Comma 2 5 4 4" xfId="663"/>
    <cellStyle name="Comma 2 5 4 4 2" xfId="1707"/>
    <cellStyle name="Comma 2 5 4 4 2 2" xfId="3584"/>
    <cellStyle name="Comma 2 5 4 4 3" xfId="2668"/>
    <cellStyle name="Comma 2 5 4 5" xfId="1184"/>
    <cellStyle name="Comma 2 5 4 5 2" xfId="3125"/>
    <cellStyle name="Comma 2 5 4 6" xfId="2209"/>
    <cellStyle name="Comma 2 5 5" xfId="208"/>
    <cellStyle name="Comma 2 5 5 2" xfId="478"/>
    <cellStyle name="Comma 2 5 5 2 2" xfId="992"/>
    <cellStyle name="Comma 2 5 5 2 2 2" xfId="2036"/>
    <cellStyle name="Comma 2 5 5 2 2 2 2" xfId="3881"/>
    <cellStyle name="Comma 2 5 5 2 2 3" xfId="2965"/>
    <cellStyle name="Comma 2 5 5 2 3" xfId="1522"/>
    <cellStyle name="Comma 2 5 5 2 3 2" xfId="3431"/>
    <cellStyle name="Comma 2 5 5 2 4" xfId="2515"/>
    <cellStyle name="Comma 2 5 5 3" xfId="735"/>
    <cellStyle name="Comma 2 5 5 3 2" xfId="1779"/>
    <cellStyle name="Comma 2 5 5 3 2 2" xfId="3656"/>
    <cellStyle name="Comma 2 5 5 3 3" xfId="2740"/>
    <cellStyle name="Comma 2 5 5 4" xfId="1260"/>
    <cellStyle name="Comma 2 5 5 4 2" xfId="3201"/>
    <cellStyle name="Comma 2 5 5 5" xfId="2285"/>
    <cellStyle name="Comma 2 5 6" xfId="370"/>
    <cellStyle name="Comma 2 5 6 2" xfId="884"/>
    <cellStyle name="Comma 2 5 6 2 2" xfId="1928"/>
    <cellStyle name="Comma 2 5 6 2 2 2" xfId="3773"/>
    <cellStyle name="Comma 2 5 6 2 3" xfId="2857"/>
    <cellStyle name="Comma 2 5 6 3" xfId="1414"/>
    <cellStyle name="Comma 2 5 6 3 2" xfId="3323"/>
    <cellStyle name="Comma 2 5 6 4" xfId="2407"/>
    <cellStyle name="Comma 2 5 7" xfId="627"/>
    <cellStyle name="Comma 2 5 7 2" xfId="1671"/>
    <cellStyle name="Comma 2 5 7 2 2" xfId="3548"/>
    <cellStyle name="Comma 2 5 7 3" xfId="2632"/>
    <cellStyle name="Comma 2 5 8" xfId="1146"/>
    <cellStyle name="Comma 2 5 8 2" xfId="3087"/>
    <cellStyle name="Comma 2 5 9" xfId="2171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2 2" xfId="3962"/>
    <cellStyle name="Comma 2 6 2 2 2 2 3" xfId="3046"/>
    <cellStyle name="Comma 2 6 2 2 2 3" xfId="1603"/>
    <cellStyle name="Comma 2 6 2 2 2 3 2" xfId="3512"/>
    <cellStyle name="Comma 2 6 2 2 2 4" xfId="2596"/>
    <cellStyle name="Comma 2 6 2 2 3" xfId="816"/>
    <cellStyle name="Comma 2 6 2 2 3 2" xfId="1860"/>
    <cellStyle name="Comma 2 6 2 2 3 2 2" xfId="3737"/>
    <cellStyle name="Comma 2 6 2 2 3 3" xfId="2821"/>
    <cellStyle name="Comma 2 6 2 2 4" xfId="1345"/>
    <cellStyle name="Comma 2 6 2 2 4 2" xfId="3286"/>
    <cellStyle name="Comma 2 6 2 2 5" xfId="2370"/>
    <cellStyle name="Comma 2 6 2 3" xfId="451"/>
    <cellStyle name="Comma 2 6 2 3 2" xfId="965"/>
    <cellStyle name="Comma 2 6 2 3 2 2" xfId="2009"/>
    <cellStyle name="Comma 2 6 2 3 2 2 2" xfId="3854"/>
    <cellStyle name="Comma 2 6 2 3 2 3" xfId="2938"/>
    <cellStyle name="Comma 2 6 2 3 3" xfId="1495"/>
    <cellStyle name="Comma 2 6 2 3 3 2" xfId="3404"/>
    <cellStyle name="Comma 2 6 2 3 4" xfId="2488"/>
    <cellStyle name="Comma 2 6 2 4" xfId="708"/>
    <cellStyle name="Comma 2 6 2 4 2" xfId="1752"/>
    <cellStyle name="Comma 2 6 2 4 2 2" xfId="3629"/>
    <cellStyle name="Comma 2 6 2 4 3" xfId="2713"/>
    <cellStyle name="Comma 2 6 2 5" xfId="1231"/>
    <cellStyle name="Comma 2 6 2 5 2" xfId="3172"/>
    <cellStyle name="Comma 2 6 2 6" xfId="2256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2 2" xfId="3926"/>
    <cellStyle name="Comma 2 6 3 2 2 2 3" xfId="3010"/>
    <cellStyle name="Comma 2 6 3 2 2 3" xfId="1567"/>
    <cellStyle name="Comma 2 6 3 2 2 3 2" xfId="3476"/>
    <cellStyle name="Comma 2 6 3 2 2 4" xfId="2560"/>
    <cellStyle name="Comma 2 6 3 2 3" xfId="780"/>
    <cellStyle name="Comma 2 6 3 2 3 2" xfId="1824"/>
    <cellStyle name="Comma 2 6 3 2 3 2 2" xfId="3701"/>
    <cellStyle name="Comma 2 6 3 2 3 3" xfId="2785"/>
    <cellStyle name="Comma 2 6 3 2 4" xfId="1307"/>
    <cellStyle name="Comma 2 6 3 2 4 2" xfId="3248"/>
    <cellStyle name="Comma 2 6 3 2 5" xfId="2332"/>
    <cellStyle name="Comma 2 6 3 3" xfId="415"/>
    <cellStyle name="Comma 2 6 3 3 2" xfId="929"/>
    <cellStyle name="Comma 2 6 3 3 2 2" xfId="1973"/>
    <cellStyle name="Comma 2 6 3 3 2 2 2" xfId="3818"/>
    <cellStyle name="Comma 2 6 3 3 2 3" xfId="2902"/>
    <cellStyle name="Comma 2 6 3 3 3" xfId="1459"/>
    <cellStyle name="Comma 2 6 3 3 3 2" xfId="3368"/>
    <cellStyle name="Comma 2 6 3 3 4" xfId="2452"/>
    <cellStyle name="Comma 2 6 3 4" xfId="672"/>
    <cellStyle name="Comma 2 6 3 4 2" xfId="1716"/>
    <cellStyle name="Comma 2 6 3 4 2 2" xfId="3593"/>
    <cellStyle name="Comma 2 6 3 4 3" xfId="2677"/>
    <cellStyle name="Comma 2 6 3 5" xfId="1193"/>
    <cellStyle name="Comma 2 6 3 5 2" xfId="3134"/>
    <cellStyle name="Comma 2 6 3 6" xfId="2218"/>
    <cellStyle name="Comma 2 6 4" xfId="218"/>
    <cellStyle name="Comma 2 6 4 2" xfId="487"/>
    <cellStyle name="Comma 2 6 4 2 2" xfId="1001"/>
    <cellStyle name="Comma 2 6 4 2 2 2" xfId="2045"/>
    <cellStyle name="Comma 2 6 4 2 2 2 2" xfId="3890"/>
    <cellStyle name="Comma 2 6 4 2 2 3" xfId="2974"/>
    <cellStyle name="Comma 2 6 4 2 3" xfId="1531"/>
    <cellStyle name="Comma 2 6 4 2 3 2" xfId="3440"/>
    <cellStyle name="Comma 2 6 4 2 4" xfId="2524"/>
    <cellStyle name="Comma 2 6 4 3" xfId="744"/>
    <cellStyle name="Comma 2 6 4 3 2" xfId="1788"/>
    <cellStyle name="Comma 2 6 4 3 2 2" xfId="3665"/>
    <cellStyle name="Comma 2 6 4 3 3" xfId="2749"/>
    <cellStyle name="Comma 2 6 4 4" xfId="1269"/>
    <cellStyle name="Comma 2 6 4 4 2" xfId="3210"/>
    <cellStyle name="Comma 2 6 4 5" xfId="2294"/>
    <cellStyle name="Comma 2 6 5" xfId="379"/>
    <cellStyle name="Comma 2 6 5 2" xfId="893"/>
    <cellStyle name="Comma 2 6 5 2 2" xfId="1937"/>
    <cellStyle name="Comma 2 6 5 2 2 2" xfId="3782"/>
    <cellStyle name="Comma 2 6 5 2 3" xfId="2866"/>
    <cellStyle name="Comma 2 6 5 3" xfId="1423"/>
    <cellStyle name="Comma 2 6 5 3 2" xfId="3332"/>
    <cellStyle name="Comma 2 6 5 4" xfId="2416"/>
    <cellStyle name="Comma 2 6 6" xfId="636"/>
    <cellStyle name="Comma 2 6 6 2" xfId="1680"/>
    <cellStyle name="Comma 2 6 6 2 2" xfId="3557"/>
    <cellStyle name="Comma 2 6 6 3" xfId="2641"/>
    <cellStyle name="Comma 2 6 7" xfId="1155"/>
    <cellStyle name="Comma 2 6 7 2" xfId="3096"/>
    <cellStyle name="Comma 2 6 8" xfId="2180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2 2" xfId="3944"/>
    <cellStyle name="Comma 2 7 2 2 2 3" xfId="3028"/>
    <cellStyle name="Comma 2 7 2 2 3" xfId="1585"/>
    <cellStyle name="Comma 2 7 2 2 3 2" xfId="3494"/>
    <cellStyle name="Comma 2 7 2 2 4" xfId="2578"/>
    <cellStyle name="Comma 2 7 2 3" xfId="798"/>
    <cellStyle name="Comma 2 7 2 3 2" xfId="1842"/>
    <cellStyle name="Comma 2 7 2 3 2 2" xfId="3719"/>
    <cellStyle name="Comma 2 7 2 3 3" xfId="2803"/>
    <cellStyle name="Comma 2 7 2 4" xfId="1326"/>
    <cellStyle name="Comma 2 7 2 4 2" xfId="3267"/>
    <cellStyle name="Comma 2 7 2 5" xfId="2351"/>
    <cellStyle name="Comma 2 7 3" xfId="433"/>
    <cellStyle name="Comma 2 7 3 2" xfId="947"/>
    <cellStyle name="Comma 2 7 3 2 2" xfId="1991"/>
    <cellStyle name="Comma 2 7 3 2 2 2" xfId="3836"/>
    <cellStyle name="Comma 2 7 3 2 3" xfId="2920"/>
    <cellStyle name="Comma 2 7 3 3" xfId="1477"/>
    <cellStyle name="Comma 2 7 3 3 2" xfId="3386"/>
    <cellStyle name="Comma 2 7 3 4" xfId="2470"/>
    <cellStyle name="Comma 2 7 4" xfId="690"/>
    <cellStyle name="Comma 2 7 4 2" xfId="1734"/>
    <cellStyle name="Comma 2 7 4 2 2" xfId="3611"/>
    <cellStyle name="Comma 2 7 4 3" xfId="2695"/>
    <cellStyle name="Comma 2 7 5" xfId="1212"/>
    <cellStyle name="Comma 2 7 5 2" xfId="3153"/>
    <cellStyle name="Comma 2 7 6" xfId="2237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2 2" xfId="3908"/>
    <cellStyle name="Comma 2 8 2 2 2 3" xfId="2992"/>
    <cellStyle name="Comma 2 8 2 2 3" xfId="1549"/>
    <cellStyle name="Comma 2 8 2 2 3 2" xfId="3458"/>
    <cellStyle name="Comma 2 8 2 2 4" xfId="2542"/>
    <cellStyle name="Comma 2 8 2 3" xfId="762"/>
    <cellStyle name="Comma 2 8 2 3 2" xfId="1806"/>
    <cellStyle name="Comma 2 8 2 3 2 2" xfId="3683"/>
    <cellStyle name="Comma 2 8 2 3 3" xfId="2767"/>
    <cellStyle name="Comma 2 8 2 4" xfId="1288"/>
    <cellStyle name="Comma 2 8 2 4 2" xfId="3229"/>
    <cellStyle name="Comma 2 8 2 5" xfId="2313"/>
    <cellStyle name="Comma 2 8 3" xfId="397"/>
    <cellStyle name="Comma 2 8 3 2" xfId="911"/>
    <cellStyle name="Comma 2 8 3 2 2" xfId="1955"/>
    <cellStyle name="Comma 2 8 3 2 2 2" xfId="3800"/>
    <cellStyle name="Comma 2 8 3 2 3" xfId="2884"/>
    <cellStyle name="Comma 2 8 3 3" xfId="1441"/>
    <cellStyle name="Comma 2 8 3 3 2" xfId="3350"/>
    <cellStyle name="Comma 2 8 3 4" xfId="2434"/>
    <cellStyle name="Comma 2 8 4" xfId="654"/>
    <cellStyle name="Comma 2 8 4 2" xfId="1698"/>
    <cellStyle name="Comma 2 8 4 2 2" xfId="3575"/>
    <cellStyle name="Comma 2 8 4 3" xfId="2659"/>
    <cellStyle name="Comma 2 8 5" xfId="1174"/>
    <cellStyle name="Comma 2 8 5 2" xfId="3115"/>
    <cellStyle name="Comma 2 8 6" xfId="2199"/>
    <cellStyle name="Comma 2 9" xfId="198"/>
    <cellStyle name="Comma 2 9 2" xfId="469"/>
    <cellStyle name="Comma 2 9 2 2" xfId="983"/>
    <cellStyle name="Comma 2 9 2 2 2" xfId="2027"/>
    <cellStyle name="Comma 2 9 2 2 2 2" xfId="3872"/>
    <cellStyle name="Comma 2 9 2 2 3" xfId="2956"/>
    <cellStyle name="Comma 2 9 2 3" xfId="1513"/>
    <cellStyle name="Comma 2 9 2 3 2" xfId="3422"/>
    <cellStyle name="Comma 2 9 2 4" xfId="2506"/>
    <cellStyle name="Comma 2 9 3" xfId="726"/>
    <cellStyle name="Comma 2 9 3 2" xfId="1770"/>
    <cellStyle name="Comma 2 9 3 2 2" xfId="3647"/>
    <cellStyle name="Comma 2 9 3 3" xfId="2731"/>
    <cellStyle name="Comma 2 9 4" xfId="1250"/>
    <cellStyle name="Comma 2 9 4 2" xfId="3191"/>
    <cellStyle name="Comma 2 9 5" xfId="2275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2 2" xfId="3973"/>
    <cellStyle name="Comma 3 2 2 2 2 2 2 3" xfId="3057"/>
    <cellStyle name="Comma 3 2 2 2 2 2 3" xfId="1614"/>
    <cellStyle name="Comma 3 2 2 2 2 2 3 2" xfId="3523"/>
    <cellStyle name="Comma 3 2 2 2 2 2 4" xfId="2607"/>
    <cellStyle name="Comma 3 2 2 2 2 3" xfId="827"/>
    <cellStyle name="Comma 3 2 2 2 2 3 2" xfId="1871"/>
    <cellStyle name="Comma 3 2 2 2 2 3 2 2" xfId="3748"/>
    <cellStyle name="Comma 3 2 2 2 2 3 3" xfId="2832"/>
    <cellStyle name="Comma 3 2 2 2 2 4" xfId="1357"/>
    <cellStyle name="Comma 3 2 2 2 2 4 2" xfId="3298"/>
    <cellStyle name="Comma 3 2 2 2 2 5" xfId="2382"/>
    <cellStyle name="Comma 3 2 2 2 3" xfId="462"/>
    <cellStyle name="Comma 3 2 2 2 3 2" xfId="976"/>
    <cellStyle name="Comma 3 2 2 2 3 2 2" xfId="2020"/>
    <cellStyle name="Comma 3 2 2 2 3 2 2 2" xfId="3865"/>
    <cellStyle name="Comma 3 2 2 2 3 2 3" xfId="2949"/>
    <cellStyle name="Comma 3 2 2 2 3 3" xfId="1506"/>
    <cellStyle name="Comma 3 2 2 2 3 3 2" xfId="3415"/>
    <cellStyle name="Comma 3 2 2 2 3 4" xfId="2499"/>
    <cellStyle name="Comma 3 2 2 2 4" xfId="719"/>
    <cellStyle name="Comma 3 2 2 2 4 2" xfId="1763"/>
    <cellStyle name="Comma 3 2 2 2 4 2 2" xfId="3640"/>
    <cellStyle name="Comma 3 2 2 2 4 3" xfId="2724"/>
    <cellStyle name="Comma 3 2 2 2 5" xfId="1243"/>
    <cellStyle name="Comma 3 2 2 2 5 2" xfId="3184"/>
    <cellStyle name="Comma 3 2 2 2 6" xfId="2268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2 2" xfId="3937"/>
    <cellStyle name="Comma 3 2 2 3 2 2 2 3" xfId="3021"/>
    <cellStyle name="Comma 3 2 2 3 2 2 3" xfId="1578"/>
    <cellStyle name="Comma 3 2 2 3 2 2 3 2" xfId="3487"/>
    <cellStyle name="Comma 3 2 2 3 2 2 4" xfId="2571"/>
    <cellStyle name="Comma 3 2 2 3 2 3" xfId="791"/>
    <cellStyle name="Comma 3 2 2 3 2 3 2" xfId="1835"/>
    <cellStyle name="Comma 3 2 2 3 2 3 2 2" xfId="3712"/>
    <cellStyle name="Comma 3 2 2 3 2 3 3" xfId="2796"/>
    <cellStyle name="Comma 3 2 2 3 2 4" xfId="1319"/>
    <cellStyle name="Comma 3 2 2 3 2 4 2" xfId="3260"/>
    <cellStyle name="Comma 3 2 2 3 2 5" xfId="2344"/>
    <cellStyle name="Comma 3 2 2 3 3" xfId="426"/>
    <cellStyle name="Comma 3 2 2 3 3 2" xfId="940"/>
    <cellStyle name="Comma 3 2 2 3 3 2 2" xfId="1984"/>
    <cellStyle name="Comma 3 2 2 3 3 2 2 2" xfId="3829"/>
    <cellStyle name="Comma 3 2 2 3 3 2 3" xfId="2913"/>
    <cellStyle name="Comma 3 2 2 3 3 3" xfId="1470"/>
    <cellStyle name="Comma 3 2 2 3 3 3 2" xfId="3379"/>
    <cellStyle name="Comma 3 2 2 3 3 4" xfId="2463"/>
    <cellStyle name="Comma 3 2 2 3 4" xfId="683"/>
    <cellStyle name="Comma 3 2 2 3 4 2" xfId="1727"/>
    <cellStyle name="Comma 3 2 2 3 4 2 2" xfId="3604"/>
    <cellStyle name="Comma 3 2 2 3 4 3" xfId="2688"/>
    <cellStyle name="Comma 3 2 2 3 5" xfId="1205"/>
    <cellStyle name="Comma 3 2 2 3 5 2" xfId="3146"/>
    <cellStyle name="Comma 3 2 2 3 6" xfId="2230"/>
    <cellStyle name="Comma 3 2 2 4" xfId="230"/>
    <cellStyle name="Comma 3 2 2 4 2" xfId="498"/>
    <cellStyle name="Comma 3 2 2 4 2 2" xfId="1012"/>
    <cellStyle name="Comma 3 2 2 4 2 2 2" xfId="2056"/>
    <cellStyle name="Comma 3 2 2 4 2 2 2 2" xfId="3901"/>
    <cellStyle name="Comma 3 2 2 4 2 2 3" xfId="2985"/>
    <cellStyle name="Comma 3 2 2 4 2 3" xfId="1542"/>
    <cellStyle name="Comma 3 2 2 4 2 3 2" xfId="3451"/>
    <cellStyle name="Comma 3 2 2 4 2 4" xfId="2535"/>
    <cellStyle name="Comma 3 2 2 4 3" xfId="755"/>
    <cellStyle name="Comma 3 2 2 4 3 2" xfId="1799"/>
    <cellStyle name="Comma 3 2 2 4 3 2 2" xfId="3676"/>
    <cellStyle name="Comma 3 2 2 4 3 3" xfId="2760"/>
    <cellStyle name="Comma 3 2 2 4 4" xfId="1281"/>
    <cellStyle name="Comma 3 2 2 4 4 2" xfId="3222"/>
    <cellStyle name="Comma 3 2 2 4 5" xfId="2306"/>
    <cellStyle name="Comma 3 2 2 5" xfId="390"/>
    <cellStyle name="Comma 3 2 2 5 2" xfId="904"/>
    <cellStyle name="Comma 3 2 2 5 2 2" xfId="1948"/>
    <cellStyle name="Comma 3 2 2 5 2 2 2" xfId="3793"/>
    <cellStyle name="Comma 3 2 2 5 2 3" xfId="2877"/>
    <cellStyle name="Comma 3 2 2 5 3" xfId="1434"/>
    <cellStyle name="Comma 3 2 2 5 3 2" xfId="3343"/>
    <cellStyle name="Comma 3 2 2 5 4" xfId="2427"/>
    <cellStyle name="Comma 3 2 2 6" xfId="647"/>
    <cellStyle name="Comma 3 2 2 6 2" xfId="1691"/>
    <cellStyle name="Comma 3 2 2 6 2 2" xfId="3568"/>
    <cellStyle name="Comma 3 2 2 6 3" xfId="2652"/>
    <cellStyle name="Comma 3 2 2 7" xfId="1167"/>
    <cellStyle name="Comma 3 2 2 7 2" xfId="3108"/>
    <cellStyle name="Comma 3 2 2 8" xfId="2192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2 2" xfId="3955"/>
    <cellStyle name="Comma 3 2 3 2 2 2 3" xfId="3039"/>
    <cellStyle name="Comma 3 2 3 2 2 3" xfId="1596"/>
    <cellStyle name="Comma 3 2 3 2 2 3 2" xfId="3505"/>
    <cellStyle name="Comma 3 2 3 2 2 4" xfId="2589"/>
    <cellStyle name="Comma 3 2 3 2 3" xfId="809"/>
    <cellStyle name="Comma 3 2 3 2 3 2" xfId="1853"/>
    <cellStyle name="Comma 3 2 3 2 3 2 2" xfId="3730"/>
    <cellStyle name="Comma 3 2 3 2 3 3" xfId="2814"/>
    <cellStyle name="Comma 3 2 3 2 4" xfId="1338"/>
    <cellStyle name="Comma 3 2 3 2 4 2" xfId="3279"/>
    <cellStyle name="Comma 3 2 3 2 5" xfId="2363"/>
    <cellStyle name="Comma 3 2 3 3" xfId="444"/>
    <cellStyle name="Comma 3 2 3 3 2" xfId="958"/>
    <cellStyle name="Comma 3 2 3 3 2 2" xfId="2002"/>
    <cellStyle name="Comma 3 2 3 3 2 2 2" xfId="3847"/>
    <cellStyle name="Comma 3 2 3 3 2 3" xfId="2931"/>
    <cellStyle name="Comma 3 2 3 3 3" xfId="1488"/>
    <cellStyle name="Comma 3 2 3 3 3 2" xfId="3397"/>
    <cellStyle name="Comma 3 2 3 3 4" xfId="2481"/>
    <cellStyle name="Comma 3 2 3 4" xfId="701"/>
    <cellStyle name="Comma 3 2 3 4 2" xfId="1745"/>
    <cellStyle name="Comma 3 2 3 4 2 2" xfId="3622"/>
    <cellStyle name="Comma 3 2 3 4 3" xfId="2706"/>
    <cellStyle name="Comma 3 2 3 5" xfId="1224"/>
    <cellStyle name="Comma 3 2 3 5 2" xfId="3165"/>
    <cellStyle name="Comma 3 2 3 6" xfId="2249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2 2" xfId="3919"/>
    <cellStyle name="Comma 3 2 4 2 2 2 3" xfId="3003"/>
    <cellStyle name="Comma 3 2 4 2 2 3" xfId="1560"/>
    <cellStyle name="Comma 3 2 4 2 2 3 2" xfId="3469"/>
    <cellStyle name="Comma 3 2 4 2 2 4" xfId="2553"/>
    <cellStyle name="Comma 3 2 4 2 3" xfId="773"/>
    <cellStyle name="Comma 3 2 4 2 3 2" xfId="1817"/>
    <cellStyle name="Comma 3 2 4 2 3 2 2" xfId="3694"/>
    <cellStyle name="Comma 3 2 4 2 3 3" xfId="2778"/>
    <cellStyle name="Comma 3 2 4 2 4" xfId="1300"/>
    <cellStyle name="Comma 3 2 4 2 4 2" xfId="3241"/>
    <cellStyle name="Comma 3 2 4 2 5" xfId="2325"/>
    <cellStyle name="Comma 3 2 4 3" xfId="408"/>
    <cellStyle name="Comma 3 2 4 3 2" xfId="922"/>
    <cellStyle name="Comma 3 2 4 3 2 2" xfId="1966"/>
    <cellStyle name="Comma 3 2 4 3 2 2 2" xfId="3811"/>
    <cellStyle name="Comma 3 2 4 3 2 3" xfId="2895"/>
    <cellStyle name="Comma 3 2 4 3 3" xfId="1452"/>
    <cellStyle name="Comma 3 2 4 3 3 2" xfId="3361"/>
    <cellStyle name="Comma 3 2 4 3 4" xfId="2445"/>
    <cellStyle name="Comma 3 2 4 4" xfId="665"/>
    <cellStyle name="Comma 3 2 4 4 2" xfId="1709"/>
    <cellStyle name="Comma 3 2 4 4 2 2" xfId="3586"/>
    <cellStyle name="Comma 3 2 4 4 3" xfId="2670"/>
    <cellStyle name="Comma 3 2 4 5" xfId="1186"/>
    <cellStyle name="Comma 3 2 4 5 2" xfId="3127"/>
    <cellStyle name="Comma 3 2 4 6" xfId="2211"/>
    <cellStyle name="Comma 3 2 5" xfId="210"/>
    <cellStyle name="Comma 3 2 5 2" xfId="480"/>
    <cellStyle name="Comma 3 2 5 2 2" xfId="994"/>
    <cellStyle name="Comma 3 2 5 2 2 2" xfId="2038"/>
    <cellStyle name="Comma 3 2 5 2 2 2 2" xfId="3883"/>
    <cellStyle name="Comma 3 2 5 2 2 3" xfId="2967"/>
    <cellStyle name="Comma 3 2 5 2 3" xfId="1524"/>
    <cellStyle name="Comma 3 2 5 2 3 2" xfId="3433"/>
    <cellStyle name="Comma 3 2 5 2 4" xfId="2517"/>
    <cellStyle name="Comma 3 2 5 3" xfId="737"/>
    <cellStyle name="Comma 3 2 5 3 2" xfId="1781"/>
    <cellStyle name="Comma 3 2 5 3 2 2" xfId="3658"/>
    <cellStyle name="Comma 3 2 5 3 3" xfId="2742"/>
    <cellStyle name="Comma 3 2 5 4" xfId="1262"/>
    <cellStyle name="Comma 3 2 5 4 2" xfId="3203"/>
    <cellStyle name="Comma 3 2 5 5" xfId="2287"/>
    <cellStyle name="Comma 3 2 6" xfId="372"/>
    <cellStyle name="Comma 3 2 6 2" xfId="886"/>
    <cellStyle name="Comma 3 2 6 2 2" xfId="1930"/>
    <cellStyle name="Comma 3 2 6 2 2 2" xfId="3775"/>
    <cellStyle name="Comma 3 2 6 2 3" xfId="2859"/>
    <cellStyle name="Comma 3 2 6 3" xfId="1416"/>
    <cellStyle name="Comma 3 2 6 3 2" xfId="3325"/>
    <cellStyle name="Comma 3 2 6 4" xfId="2409"/>
    <cellStyle name="Comma 3 2 7" xfId="629"/>
    <cellStyle name="Comma 3 2 7 2" xfId="1673"/>
    <cellStyle name="Comma 3 2 7 2 2" xfId="3550"/>
    <cellStyle name="Comma 3 2 7 3" xfId="2634"/>
    <cellStyle name="Comma 3 2 8" xfId="1148"/>
    <cellStyle name="Comma 3 2 8 2" xfId="3089"/>
    <cellStyle name="Comma 3 2 9" xfId="2173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2 2" xfId="3964"/>
    <cellStyle name="Comma 3 3 2 2 2 2 3" xfId="3048"/>
    <cellStyle name="Comma 3 3 2 2 2 3" xfId="1605"/>
    <cellStyle name="Comma 3 3 2 2 2 3 2" xfId="3514"/>
    <cellStyle name="Comma 3 3 2 2 2 4" xfId="2598"/>
    <cellStyle name="Comma 3 3 2 2 3" xfId="818"/>
    <cellStyle name="Comma 3 3 2 2 3 2" xfId="1862"/>
    <cellStyle name="Comma 3 3 2 2 3 2 2" xfId="3739"/>
    <cellStyle name="Comma 3 3 2 2 3 3" xfId="2823"/>
    <cellStyle name="Comma 3 3 2 2 4" xfId="1347"/>
    <cellStyle name="Comma 3 3 2 2 4 2" xfId="3288"/>
    <cellStyle name="Comma 3 3 2 2 5" xfId="2372"/>
    <cellStyle name="Comma 3 3 2 3" xfId="453"/>
    <cellStyle name="Comma 3 3 2 3 2" xfId="967"/>
    <cellStyle name="Comma 3 3 2 3 2 2" xfId="2011"/>
    <cellStyle name="Comma 3 3 2 3 2 2 2" xfId="3856"/>
    <cellStyle name="Comma 3 3 2 3 2 3" xfId="2940"/>
    <cellStyle name="Comma 3 3 2 3 3" xfId="1497"/>
    <cellStyle name="Comma 3 3 2 3 3 2" xfId="3406"/>
    <cellStyle name="Comma 3 3 2 3 4" xfId="2490"/>
    <cellStyle name="Comma 3 3 2 4" xfId="710"/>
    <cellStyle name="Comma 3 3 2 4 2" xfId="1754"/>
    <cellStyle name="Comma 3 3 2 4 2 2" xfId="3631"/>
    <cellStyle name="Comma 3 3 2 4 3" xfId="2715"/>
    <cellStyle name="Comma 3 3 2 5" xfId="1233"/>
    <cellStyle name="Comma 3 3 2 5 2" xfId="3174"/>
    <cellStyle name="Comma 3 3 2 6" xfId="2258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2 2" xfId="3928"/>
    <cellStyle name="Comma 3 3 3 2 2 2 3" xfId="3012"/>
    <cellStyle name="Comma 3 3 3 2 2 3" xfId="1569"/>
    <cellStyle name="Comma 3 3 3 2 2 3 2" xfId="3478"/>
    <cellStyle name="Comma 3 3 3 2 2 4" xfId="2562"/>
    <cellStyle name="Comma 3 3 3 2 3" xfId="782"/>
    <cellStyle name="Comma 3 3 3 2 3 2" xfId="1826"/>
    <cellStyle name="Comma 3 3 3 2 3 2 2" xfId="3703"/>
    <cellStyle name="Comma 3 3 3 2 3 3" xfId="2787"/>
    <cellStyle name="Comma 3 3 3 2 4" xfId="1309"/>
    <cellStyle name="Comma 3 3 3 2 4 2" xfId="3250"/>
    <cellStyle name="Comma 3 3 3 2 5" xfId="2334"/>
    <cellStyle name="Comma 3 3 3 3" xfId="417"/>
    <cellStyle name="Comma 3 3 3 3 2" xfId="931"/>
    <cellStyle name="Comma 3 3 3 3 2 2" xfId="1975"/>
    <cellStyle name="Comma 3 3 3 3 2 2 2" xfId="3820"/>
    <cellStyle name="Comma 3 3 3 3 2 3" xfId="2904"/>
    <cellStyle name="Comma 3 3 3 3 3" xfId="1461"/>
    <cellStyle name="Comma 3 3 3 3 3 2" xfId="3370"/>
    <cellStyle name="Comma 3 3 3 3 4" xfId="2454"/>
    <cellStyle name="Comma 3 3 3 4" xfId="674"/>
    <cellStyle name="Comma 3 3 3 4 2" xfId="1718"/>
    <cellStyle name="Comma 3 3 3 4 2 2" xfId="3595"/>
    <cellStyle name="Comma 3 3 3 4 3" xfId="2679"/>
    <cellStyle name="Comma 3 3 3 5" xfId="1195"/>
    <cellStyle name="Comma 3 3 3 5 2" xfId="3136"/>
    <cellStyle name="Comma 3 3 3 6" xfId="2220"/>
    <cellStyle name="Comma 3 3 4" xfId="220"/>
    <cellStyle name="Comma 3 3 4 2" xfId="489"/>
    <cellStyle name="Comma 3 3 4 2 2" xfId="1003"/>
    <cellStyle name="Comma 3 3 4 2 2 2" xfId="2047"/>
    <cellStyle name="Comma 3 3 4 2 2 2 2" xfId="3892"/>
    <cellStyle name="Comma 3 3 4 2 2 3" xfId="2976"/>
    <cellStyle name="Comma 3 3 4 2 3" xfId="1533"/>
    <cellStyle name="Comma 3 3 4 2 3 2" xfId="3442"/>
    <cellStyle name="Comma 3 3 4 2 4" xfId="2526"/>
    <cellStyle name="Comma 3 3 4 3" xfId="746"/>
    <cellStyle name="Comma 3 3 4 3 2" xfId="1790"/>
    <cellStyle name="Comma 3 3 4 3 2 2" xfId="3667"/>
    <cellStyle name="Comma 3 3 4 3 3" xfId="2751"/>
    <cellStyle name="Comma 3 3 4 4" xfId="1271"/>
    <cellStyle name="Comma 3 3 4 4 2" xfId="3212"/>
    <cellStyle name="Comma 3 3 4 5" xfId="2296"/>
    <cellStyle name="Comma 3 3 5" xfId="381"/>
    <cellStyle name="Comma 3 3 5 2" xfId="895"/>
    <cellStyle name="Comma 3 3 5 2 2" xfId="1939"/>
    <cellStyle name="Comma 3 3 5 2 2 2" xfId="3784"/>
    <cellStyle name="Comma 3 3 5 2 3" xfId="2868"/>
    <cellStyle name="Comma 3 3 5 3" xfId="1425"/>
    <cellStyle name="Comma 3 3 5 3 2" xfId="3334"/>
    <cellStyle name="Comma 3 3 5 4" xfId="2418"/>
    <cellStyle name="Comma 3 3 6" xfId="638"/>
    <cellStyle name="Comma 3 3 6 2" xfId="1682"/>
    <cellStyle name="Comma 3 3 6 2 2" xfId="3559"/>
    <cellStyle name="Comma 3 3 6 3" xfId="2643"/>
    <cellStyle name="Comma 3 3 7" xfId="1157"/>
    <cellStyle name="Comma 3 3 7 2" xfId="3098"/>
    <cellStyle name="Comma 3 3 8" xfId="2182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2 2" xfId="3946"/>
    <cellStyle name="Comma 3 4 2 2 2 3" xfId="3030"/>
    <cellStyle name="Comma 3 4 2 2 3" xfId="1587"/>
    <cellStyle name="Comma 3 4 2 2 3 2" xfId="3496"/>
    <cellStyle name="Comma 3 4 2 2 4" xfId="2580"/>
    <cellStyle name="Comma 3 4 2 3" xfId="800"/>
    <cellStyle name="Comma 3 4 2 3 2" xfId="1844"/>
    <cellStyle name="Comma 3 4 2 3 2 2" xfId="3721"/>
    <cellStyle name="Comma 3 4 2 3 3" xfId="2805"/>
    <cellStyle name="Comma 3 4 2 4" xfId="1328"/>
    <cellStyle name="Comma 3 4 2 4 2" xfId="3269"/>
    <cellStyle name="Comma 3 4 2 5" xfId="2353"/>
    <cellStyle name="Comma 3 4 3" xfId="435"/>
    <cellStyle name="Comma 3 4 3 2" xfId="949"/>
    <cellStyle name="Comma 3 4 3 2 2" xfId="1993"/>
    <cellStyle name="Comma 3 4 3 2 2 2" xfId="3838"/>
    <cellStyle name="Comma 3 4 3 2 3" xfId="2922"/>
    <cellStyle name="Comma 3 4 3 3" xfId="1479"/>
    <cellStyle name="Comma 3 4 3 3 2" xfId="3388"/>
    <cellStyle name="Comma 3 4 3 4" xfId="2472"/>
    <cellStyle name="Comma 3 4 4" xfId="692"/>
    <cellStyle name="Comma 3 4 4 2" xfId="1736"/>
    <cellStyle name="Comma 3 4 4 2 2" xfId="3613"/>
    <cellStyle name="Comma 3 4 4 3" xfId="2697"/>
    <cellStyle name="Comma 3 4 5" xfId="1214"/>
    <cellStyle name="Comma 3 4 5 2" xfId="3155"/>
    <cellStyle name="Comma 3 4 6" xfId="2239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2 2" xfId="3910"/>
    <cellStyle name="Comma 3 5 2 2 2 3" xfId="2994"/>
    <cellStyle name="Comma 3 5 2 2 3" xfId="1551"/>
    <cellStyle name="Comma 3 5 2 2 3 2" xfId="3460"/>
    <cellStyle name="Comma 3 5 2 2 4" xfId="2544"/>
    <cellStyle name="Comma 3 5 2 3" xfId="764"/>
    <cellStyle name="Comma 3 5 2 3 2" xfId="1808"/>
    <cellStyle name="Comma 3 5 2 3 2 2" xfId="3685"/>
    <cellStyle name="Comma 3 5 2 3 3" xfId="2769"/>
    <cellStyle name="Comma 3 5 2 4" xfId="1290"/>
    <cellStyle name="Comma 3 5 2 4 2" xfId="3231"/>
    <cellStyle name="Comma 3 5 2 5" xfId="2315"/>
    <cellStyle name="Comma 3 5 3" xfId="399"/>
    <cellStyle name="Comma 3 5 3 2" xfId="913"/>
    <cellStyle name="Comma 3 5 3 2 2" xfId="1957"/>
    <cellStyle name="Comma 3 5 3 2 2 2" xfId="3802"/>
    <cellStyle name="Comma 3 5 3 2 3" xfId="2886"/>
    <cellStyle name="Comma 3 5 3 3" xfId="1443"/>
    <cellStyle name="Comma 3 5 3 3 2" xfId="3352"/>
    <cellStyle name="Comma 3 5 3 4" xfId="2436"/>
    <cellStyle name="Comma 3 5 4" xfId="656"/>
    <cellStyle name="Comma 3 5 4 2" xfId="1700"/>
    <cellStyle name="Comma 3 5 4 2 2" xfId="3577"/>
    <cellStyle name="Comma 3 5 4 3" xfId="2661"/>
    <cellStyle name="Comma 3 5 5" xfId="1176"/>
    <cellStyle name="Comma 3 5 5 2" xfId="3117"/>
    <cellStyle name="Comma 3 5 6" xfId="2201"/>
    <cellStyle name="Comma 3 6" xfId="200"/>
    <cellStyle name="Comma 3 6 2" xfId="471"/>
    <cellStyle name="Comma 3 6 2 2" xfId="985"/>
    <cellStyle name="Comma 3 6 2 2 2" xfId="2029"/>
    <cellStyle name="Comma 3 6 2 2 2 2" xfId="3874"/>
    <cellStyle name="Comma 3 6 2 2 3" xfId="2958"/>
    <cellStyle name="Comma 3 6 2 3" xfId="1515"/>
    <cellStyle name="Comma 3 6 2 3 2" xfId="3424"/>
    <cellStyle name="Comma 3 6 2 4" xfId="2508"/>
    <cellStyle name="Comma 3 6 3" xfId="728"/>
    <cellStyle name="Comma 3 6 3 2" xfId="1772"/>
    <cellStyle name="Comma 3 6 3 2 2" xfId="3649"/>
    <cellStyle name="Comma 3 6 3 3" xfId="2733"/>
    <cellStyle name="Comma 3 6 4" xfId="1252"/>
    <cellStyle name="Comma 3 6 4 2" xfId="3193"/>
    <cellStyle name="Comma 3 6 5" xfId="2277"/>
    <cellStyle name="Comma 3 7" xfId="74"/>
    <cellStyle name="Comma 3 7 2" xfId="361"/>
    <cellStyle name="Comma 3 7 2 2" xfId="875"/>
    <cellStyle name="Comma 3 7 2 2 2" xfId="1919"/>
    <cellStyle name="Comma 3 7 2 2 2 2" xfId="3766"/>
    <cellStyle name="Comma 3 7 2 2 3" xfId="2850"/>
    <cellStyle name="Comma 3 7 2 3" xfId="1405"/>
    <cellStyle name="Comma 3 7 2 3 2" xfId="3316"/>
    <cellStyle name="Comma 3 7 2 4" xfId="2400"/>
    <cellStyle name="Comma 3 7 3" xfId="618"/>
    <cellStyle name="Comma 3 7 3 2" xfId="1662"/>
    <cellStyle name="Comma 3 7 3 2 2" xfId="3541"/>
    <cellStyle name="Comma 3 7 3 3" xfId="2625"/>
    <cellStyle name="Comma 3 7 4" xfId="1134"/>
    <cellStyle name="Comma 3 7 4 2" xfId="3077"/>
    <cellStyle name="Comma 3 7 5" xfId="2161"/>
    <cellStyle name="Comma 3 8" xfId="1106"/>
    <cellStyle name="Comma 3 8 2" xfId="3065"/>
    <cellStyle name="Comma 3 9" xfId="2149"/>
    <cellStyle name="Comma 4" xfId="57"/>
    <cellStyle name="Comma 4 10" xfId="1117"/>
    <cellStyle name="Comma 4 10 2" xfId="3069"/>
    <cellStyle name="Comma 4 11" xfId="2153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2 2" xfId="3976"/>
    <cellStyle name="Comma 4 2 2 2 2 2 2 3" xfId="3060"/>
    <cellStyle name="Comma 4 2 2 2 2 2 3" xfId="1617"/>
    <cellStyle name="Comma 4 2 2 2 2 2 3 2" xfId="3526"/>
    <cellStyle name="Comma 4 2 2 2 2 2 4" xfId="2610"/>
    <cellStyle name="Comma 4 2 2 2 2 3" xfId="830"/>
    <cellStyle name="Comma 4 2 2 2 2 3 2" xfId="1874"/>
    <cellStyle name="Comma 4 2 2 2 2 3 2 2" xfId="3751"/>
    <cellStyle name="Comma 4 2 2 2 2 3 3" xfId="2835"/>
    <cellStyle name="Comma 4 2 2 2 2 4" xfId="1360"/>
    <cellStyle name="Comma 4 2 2 2 2 4 2" xfId="3301"/>
    <cellStyle name="Comma 4 2 2 2 2 5" xfId="2385"/>
    <cellStyle name="Comma 4 2 2 2 3" xfId="465"/>
    <cellStyle name="Comma 4 2 2 2 3 2" xfId="979"/>
    <cellStyle name="Comma 4 2 2 2 3 2 2" xfId="2023"/>
    <cellStyle name="Comma 4 2 2 2 3 2 2 2" xfId="3868"/>
    <cellStyle name="Comma 4 2 2 2 3 2 3" xfId="2952"/>
    <cellStyle name="Comma 4 2 2 2 3 3" xfId="1509"/>
    <cellStyle name="Comma 4 2 2 2 3 3 2" xfId="3418"/>
    <cellStyle name="Comma 4 2 2 2 3 4" xfId="2502"/>
    <cellStyle name="Comma 4 2 2 2 4" xfId="722"/>
    <cellStyle name="Comma 4 2 2 2 4 2" xfId="1766"/>
    <cellStyle name="Comma 4 2 2 2 4 2 2" xfId="3643"/>
    <cellStyle name="Comma 4 2 2 2 4 3" xfId="2727"/>
    <cellStyle name="Comma 4 2 2 2 5" xfId="1246"/>
    <cellStyle name="Comma 4 2 2 2 5 2" xfId="3187"/>
    <cellStyle name="Comma 4 2 2 2 6" xfId="2271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2 2" xfId="3940"/>
    <cellStyle name="Comma 4 2 2 3 2 2 2 3" xfId="3024"/>
    <cellStyle name="Comma 4 2 2 3 2 2 3" xfId="1581"/>
    <cellStyle name="Comma 4 2 2 3 2 2 3 2" xfId="3490"/>
    <cellStyle name="Comma 4 2 2 3 2 2 4" xfId="2574"/>
    <cellStyle name="Comma 4 2 2 3 2 3" xfId="794"/>
    <cellStyle name="Comma 4 2 2 3 2 3 2" xfId="1838"/>
    <cellStyle name="Comma 4 2 2 3 2 3 2 2" xfId="3715"/>
    <cellStyle name="Comma 4 2 2 3 2 3 3" xfId="2799"/>
    <cellStyle name="Comma 4 2 2 3 2 4" xfId="1322"/>
    <cellStyle name="Comma 4 2 2 3 2 4 2" xfId="3263"/>
    <cellStyle name="Comma 4 2 2 3 2 5" xfId="2347"/>
    <cellStyle name="Comma 4 2 2 3 3" xfId="429"/>
    <cellStyle name="Comma 4 2 2 3 3 2" xfId="943"/>
    <cellStyle name="Comma 4 2 2 3 3 2 2" xfId="1987"/>
    <cellStyle name="Comma 4 2 2 3 3 2 2 2" xfId="3832"/>
    <cellStyle name="Comma 4 2 2 3 3 2 3" xfId="2916"/>
    <cellStyle name="Comma 4 2 2 3 3 3" xfId="1473"/>
    <cellStyle name="Comma 4 2 2 3 3 3 2" xfId="3382"/>
    <cellStyle name="Comma 4 2 2 3 3 4" xfId="2466"/>
    <cellStyle name="Comma 4 2 2 3 4" xfId="686"/>
    <cellStyle name="Comma 4 2 2 3 4 2" xfId="1730"/>
    <cellStyle name="Comma 4 2 2 3 4 2 2" xfId="3607"/>
    <cellStyle name="Comma 4 2 2 3 4 3" xfId="2691"/>
    <cellStyle name="Comma 4 2 2 3 5" xfId="1208"/>
    <cellStyle name="Comma 4 2 2 3 5 2" xfId="3149"/>
    <cellStyle name="Comma 4 2 2 3 6" xfId="2233"/>
    <cellStyle name="Comma 4 2 2 4" xfId="233"/>
    <cellStyle name="Comma 4 2 2 4 2" xfId="501"/>
    <cellStyle name="Comma 4 2 2 4 2 2" xfId="1015"/>
    <cellStyle name="Comma 4 2 2 4 2 2 2" xfId="2059"/>
    <cellStyle name="Comma 4 2 2 4 2 2 2 2" xfId="3904"/>
    <cellStyle name="Comma 4 2 2 4 2 2 3" xfId="2988"/>
    <cellStyle name="Comma 4 2 2 4 2 3" xfId="1545"/>
    <cellStyle name="Comma 4 2 2 4 2 3 2" xfId="3454"/>
    <cellStyle name="Comma 4 2 2 4 2 4" xfId="2538"/>
    <cellStyle name="Comma 4 2 2 4 3" xfId="758"/>
    <cellStyle name="Comma 4 2 2 4 3 2" xfId="1802"/>
    <cellStyle name="Comma 4 2 2 4 3 2 2" xfId="3679"/>
    <cellStyle name="Comma 4 2 2 4 3 3" xfId="2763"/>
    <cellStyle name="Comma 4 2 2 4 4" xfId="1284"/>
    <cellStyle name="Comma 4 2 2 4 4 2" xfId="3225"/>
    <cellStyle name="Comma 4 2 2 4 5" xfId="2309"/>
    <cellStyle name="Comma 4 2 2 5" xfId="393"/>
    <cellStyle name="Comma 4 2 2 5 2" xfId="907"/>
    <cellStyle name="Comma 4 2 2 5 2 2" xfId="1951"/>
    <cellStyle name="Comma 4 2 2 5 2 2 2" xfId="3796"/>
    <cellStyle name="Comma 4 2 2 5 2 3" xfId="2880"/>
    <cellStyle name="Comma 4 2 2 5 3" xfId="1437"/>
    <cellStyle name="Comma 4 2 2 5 3 2" xfId="3346"/>
    <cellStyle name="Comma 4 2 2 5 4" xfId="2430"/>
    <cellStyle name="Comma 4 2 2 6" xfId="650"/>
    <cellStyle name="Comma 4 2 2 6 2" xfId="1694"/>
    <cellStyle name="Comma 4 2 2 6 2 2" xfId="3571"/>
    <cellStyle name="Comma 4 2 2 6 3" xfId="2655"/>
    <cellStyle name="Comma 4 2 2 7" xfId="1170"/>
    <cellStyle name="Comma 4 2 2 7 2" xfId="3111"/>
    <cellStyle name="Comma 4 2 2 8" xfId="2195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2 2" xfId="3958"/>
    <cellStyle name="Comma 4 2 3 2 2 2 3" xfId="3042"/>
    <cellStyle name="Comma 4 2 3 2 2 3" xfId="1599"/>
    <cellStyle name="Comma 4 2 3 2 2 3 2" xfId="3508"/>
    <cellStyle name="Comma 4 2 3 2 2 4" xfId="2592"/>
    <cellStyle name="Comma 4 2 3 2 3" xfId="812"/>
    <cellStyle name="Comma 4 2 3 2 3 2" xfId="1856"/>
    <cellStyle name="Comma 4 2 3 2 3 2 2" xfId="3733"/>
    <cellStyle name="Comma 4 2 3 2 3 3" xfId="2817"/>
    <cellStyle name="Comma 4 2 3 2 4" xfId="1341"/>
    <cellStyle name="Comma 4 2 3 2 4 2" xfId="3282"/>
    <cellStyle name="Comma 4 2 3 2 5" xfId="2366"/>
    <cellStyle name="Comma 4 2 3 3" xfId="447"/>
    <cellStyle name="Comma 4 2 3 3 2" xfId="961"/>
    <cellStyle name="Comma 4 2 3 3 2 2" xfId="2005"/>
    <cellStyle name="Comma 4 2 3 3 2 2 2" xfId="3850"/>
    <cellStyle name="Comma 4 2 3 3 2 3" xfId="2934"/>
    <cellStyle name="Comma 4 2 3 3 3" xfId="1491"/>
    <cellStyle name="Comma 4 2 3 3 3 2" xfId="3400"/>
    <cellStyle name="Comma 4 2 3 3 4" xfId="2484"/>
    <cellStyle name="Comma 4 2 3 4" xfId="704"/>
    <cellStyle name="Comma 4 2 3 4 2" xfId="1748"/>
    <cellStyle name="Comma 4 2 3 4 2 2" xfId="3625"/>
    <cellStyle name="Comma 4 2 3 4 3" xfId="2709"/>
    <cellStyle name="Comma 4 2 3 5" xfId="1227"/>
    <cellStyle name="Comma 4 2 3 5 2" xfId="3168"/>
    <cellStyle name="Comma 4 2 3 6" xfId="2252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2 2" xfId="3922"/>
    <cellStyle name="Comma 4 2 4 2 2 2 3" xfId="3006"/>
    <cellStyle name="Comma 4 2 4 2 2 3" xfId="1563"/>
    <cellStyle name="Comma 4 2 4 2 2 3 2" xfId="3472"/>
    <cellStyle name="Comma 4 2 4 2 2 4" xfId="2556"/>
    <cellStyle name="Comma 4 2 4 2 3" xfId="776"/>
    <cellStyle name="Comma 4 2 4 2 3 2" xfId="1820"/>
    <cellStyle name="Comma 4 2 4 2 3 2 2" xfId="3697"/>
    <cellStyle name="Comma 4 2 4 2 3 3" xfId="2781"/>
    <cellStyle name="Comma 4 2 4 2 4" xfId="1303"/>
    <cellStyle name="Comma 4 2 4 2 4 2" xfId="3244"/>
    <cellStyle name="Comma 4 2 4 2 5" xfId="2328"/>
    <cellStyle name="Comma 4 2 4 3" xfId="411"/>
    <cellStyle name="Comma 4 2 4 3 2" xfId="925"/>
    <cellStyle name="Comma 4 2 4 3 2 2" xfId="1969"/>
    <cellStyle name="Comma 4 2 4 3 2 2 2" xfId="3814"/>
    <cellStyle name="Comma 4 2 4 3 2 3" xfId="2898"/>
    <cellStyle name="Comma 4 2 4 3 3" xfId="1455"/>
    <cellStyle name="Comma 4 2 4 3 3 2" xfId="3364"/>
    <cellStyle name="Comma 4 2 4 3 4" xfId="2448"/>
    <cellStyle name="Comma 4 2 4 4" xfId="668"/>
    <cellStyle name="Comma 4 2 4 4 2" xfId="1712"/>
    <cellStyle name="Comma 4 2 4 4 2 2" xfId="3589"/>
    <cellStyle name="Comma 4 2 4 4 3" xfId="2673"/>
    <cellStyle name="Comma 4 2 4 5" xfId="1189"/>
    <cellStyle name="Comma 4 2 4 5 2" xfId="3130"/>
    <cellStyle name="Comma 4 2 4 6" xfId="2214"/>
    <cellStyle name="Comma 4 2 5" xfId="213"/>
    <cellStyle name="Comma 4 2 5 2" xfId="483"/>
    <cellStyle name="Comma 4 2 5 2 2" xfId="997"/>
    <cellStyle name="Comma 4 2 5 2 2 2" xfId="2041"/>
    <cellStyle name="Comma 4 2 5 2 2 2 2" xfId="3886"/>
    <cellStyle name="Comma 4 2 5 2 2 3" xfId="2970"/>
    <cellStyle name="Comma 4 2 5 2 3" xfId="1527"/>
    <cellStyle name="Comma 4 2 5 2 3 2" xfId="3436"/>
    <cellStyle name="Comma 4 2 5 2 4" xfId="2520"/>
    <cellStyle name="Comma 4 2 5 3" xfId="740"/>
    <cellStyle name="Comma 4 2 5 3 2" xfId="1784"/>
    <cellStyle name="Comma 4 2 5 3 2 2" xfId="3661"/>
    <cellStyle name="Comma 4 2 5 3 3" xfId="2745"/>
    <cellStyle name="Comma 4 2 5 4" xfId="1265"/>
    <cellStyle name="Comma 4 2 5 4 2" xfId="3206"/>
    <cellStyle name="Comma 4 2 5 5" xfId="2290"/>
    <cellStyle name="Comma 4 2 6" xfId="375"/>
    <cellStyle name="Comma 4 2 6 2" xfId="889"/>
    <cellStyle name="Comma 4 2 6 2 2" xfId="1933"/>
    <cellStyle name="Comma 4 2 6 2 2 2" xfId="3778"/>
    <cellStyle name="Comma 4 2 6 2 3" xfId="2862"/>
    <cellStyle name="Comma 4 2 6 3" xfId="1419"/>
    <cellStyle name="Comma 4 2 6 3 2" xfId="3328"/>
    <cellStyle name="Comma 4 2 6 4" xfId="2412"/>
    <cellStyle name="Comma 4 2 7" xfId="632"/>
    <cellStyle name="Comma 4 2 7 2" xfId="1676"/>
    <cellStyle name="Comma 4 2 7 2 2" xfId="3553"/>
    <cellStyle name="Comma 4 2 7 3" xfId="2637"/>
    <cellStyle name="Comma 4 2 8" xfId="1151"/>
    <cellStyle name="Comma 4 2 8 2" xfId="3092"/>
    <cellStyle name="Comma 4 2 9" xfId="2176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2 2" xfId="3967"/>
    <cellStyle name="Comma 4 3 2 2 2 2 3" xfId="3051"/>
    <cellStyle name="Comma 4 3 2 2 2 3" xfId="1608"/>
    <cellStyle name="Comma 4 3 2 2 2 3 2" xfId="3517"/>
    <cellStyle name="Comma 4 3 2 2 2 4" xfId="2601"/>
    <cellStyle name="Comma 4 3 2 2 3" xfId="821"/>
    <cellStyle name="Comma 4 3 2 2 3 2" xfId="1865"/>
    <cellStyle name="Comma 4 3 2 2 3 2 2" xfId="3742"/>
    <cellStyle name="Comma 4 3 2 2 3 3" xfId="2826"/>
    <cellStyle name="Comma 4 3 2 2 4" xfId="1350"/>
    <cellStyle name="Comma 4 3 2 2 4 2" xfId="3291"/>
    <cellStyle name="Comma 4 3 2 2 5" xfId="2375"/>
    <cellStyle name="Comma 4 3 2 3" xfId="456"/>
    <cellStyle name="Comma 4 3 2 3 2" xfId="970"/>
    <cellStyle name="Comma 4 3 2 3 2 2" xfId="2014"/>
    <cellStyle name="Comma 4 3 2 3 2 2 2" xfId="3859"/>
    <cellStyle name="Comma 4 3 2 3 2 3" xfId="2943"/>
    <cellStyle name="Comma 4 3 2 3 3" xfId="1500"/>
    <cellStyle name="Comma 4 3 2 3 3 2" xfId="3409"/>
    <cellStyle name="Comma 4 3 2 3 4" xfId="2493"/>
    <cellStyle name="Comma 4 3 2 4" xfId="713"/>
    <cellStyle name="Comma 4 3 2 4 2" xfId="1757"/>
    <cellStyle name="Comma 4 3 2 4 2 2" xfId="3634"/>
    <cellStyle name="Comma 4 3 2 4 3" xfId="2718"/>
    <cellStyle name="Comma 4 3 2 5" xfId="1236"/>
    <cellStyle name="Comma 4 3 2 5 2" xfId="3177"/>
    <cellStyle name="Comma 4 3 2 6" xfId="2261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2 2" xfId="3931"/>
    <cellStyle name="Comma 4 3 3 2 2 2 3" xfId="3015"/>
    <cellStyle name="Comma 4 3 3 2 2 3" xfId="1572"/>
    <cellStyle name="Comma 4 3 3 2 2 3 2" xfId="3481"/>
    <cellStyle name="Comma 4 3 3 2 2 4" xfId="2565"/>
    <cellStyle name="Comma 4 3 3 2 3" xfId="785"/>
    <cellStyle name="Comma 4 3 3 2 3 2" xfId="1829"/>
    <cellStyle name="Comma 4 3 3 2 3 2 2" xfId="3706"/>
    <cellStyle name="Comma 4 3 3 2 3 3" xfId="2790"/>
    <cellStyle name="Comma 4 3 3 2 4" xfId="1312"/>
    <cellStyle name="Comma 4 3 3 2 4 2" xfId="3253"/>
    <cellStyle name="Comma 4 3 3 2 5" xfId="2337"/>
    <cellStyle name="Comma 4 3 3 3" xfId="420"/>
    <cellStyle name="Comma 4 3 3 3 2" xfId="934"/>
    <cellStyle name="Comma 4 3 3 3 2 2" xfId="1978"/>
    <cellStyle name="Comma 4 3 3 3 2 2 2" xfId="3823"/>
    <cellStyle name="Comma 4 3 3 3 2 3" xfId="2907"/>
    <cellStyle name="Comma 4 3 3 3 3" xfId="1464"/>
    <cellStyle name="Comma 4 3 3 3 3 2" xfId="3373"/>
    <cellStyle name="Comma 4 3 3 3 4" xfId="2457"/>
    <cellStyle name="Comma 4 3 3 4" xfId="677"/>
    <cellStyle name="Comma 4 3 3 4 2" xfId="1721"/>
    <cellStyle name="Comma 4 3 3 4 2 2" xfId="3598"/>
    <cellStyle name="Comma 4 3 3 4 3" xfId="2682"/>
    <cellStyle name="Comma 4 3 3 5" xfId="1198"/>
    <cellStyle name="Comma 4 3 3 5 2" xfId="3139"/>
    <cellStyle name="Comma 4 3 3 6" xfId="2223"/>
    <cellStyle name="Comma 4 3 4" xfId="223"/>
    <cellStyle name="Comma 4 3 4 2" xfId="492"/>
    <cellStyle name="Comma 4 3 4 2 2" xfId="1006"/>
    <cellStyle name="Comma 4 3 4 2 2 2" xfId="2050"/>
    <cellStyle name="Comma 4 3 4 2 2 2 2" xfId="3895"/>
    <cellStyle name="Comma 4 3 4 2 2 3" xfId="2979"/>
    <cellStyle name="Comma 4 3 4 2 3" xfId="1536"/>
    <cellStyle name="Comma 4 3 4 2 3 2" xfId="3445"/>
    <cellStyle name="Comma 4 3 4 2 4" xfId="2529"/>
    <cellStyle name="Comma 4 3 4 3" xfId="749"/>
    <cellStyle name="Comma 4 3 4 3 2" xfId="1793"/>
    <cellStyle name="Comma 4 3 4 3 2 2" xfId="3670"/>
    <cellStyle name="Comma 4 3 4 3 3" xfId="2754"/>
    <cellStyle name="Comma 4 3 4 4" xfId="1274"/>
    <cellStyle name="Comma 4 3 4 4 2" xfId="3215"/>
    <cellStyle name="Comma 4 3 4 5" xfId="2299"/>
    <cellStyle name="Comma 4 3 5" xfId="384"/>
    <cellStyle name="Comma 4 3 5 2" xfId="898"/>
    <cellStyle name="Comma 4 3 5 2 2" xfId="1942"/>
    <cellStyle name="Comma 4 3 5 2 2 2" xfId="3787"/>
    <cellStyle name="Comma 4 3 5 2 3" xfId="2871"/>
    <cellStyle name="Comma 4 3 5 3" xfId="1428"/>
    <cellStyle name="Comma 4 3 5 3 2" xfId="3337"/>
    <cellStyle name="Comma 4 3 5 4" xfId="2421"/>
    <cellStyle name="Comma 4 3 6" xfId="641"/>
    <cellStyle name="Comma 4 3 6 2" xfId="1685"/>
    <cellStyle name="Comma 4 3 6 2 2" xfId="3562"/>
    <cellStyle name="Comma 4 3 6 3" xfId="2646"/>
    <cellStyle name="Comma 4 3 7" xfId="1160"/>
    <cellStyle name="Comma 4 3 7 2" xfId="3101"/>
    <cellStyle name="Comma 4 3 8" xfId="2185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2 2" xfId="3949"/>
    <cellStyle name="Comma 4 4 2 2 2 3" xfId="3033"/>
    <cellStyle name="Comma 4 4 2 2 3" xfId="1590"/>
    <cellStyle name="Comma 4 4 2 2 3 2" xfId="3499"/>
    <cellStyle name="Comma 4 4 2 2 4" xfId="2583"/>
    <cellStyle name="Comma 4 4 2 3" xfId="803"/>
    <cellStyle name="Comma 4 4 2 3 2" xfId="1847"/>
    <cellStyle name="Comma 4 4 2 3 2 2" xfId="3724"/>
    <cellStyle name="Comma 4 4 2 3 3" xfId="2808"/>
    <cellStyle name="Comma 4 4 2 4" xfId="1331"/>
    <cellStyle name="Comma 4 4 2 4 2" xfId="3272"/>
    <cellStyle name="Comma 4 4 2 5" xfId="2356"/>
    <cellStyle name="Comma 4 4 3" xfId="438"/>
    <cellStyle name="Comma 4 4 3 2" xfId="952"/>
    <cellStyle name="Comma 4 4 3 2 2" xfId="1996"/>
    <cellStyle name="Comma 4 4 3 2 2 2" xfId="3841"/>
    <cellStyle name="Comma 4 4 3 2 3" xfId="2925"/>
    <cellStyle name="Comma 4 4 3 3" xfId="1482"/>
    <cellStyle name="Comma 4 4 3 3 2" xfId="3391"/>
    <cellStyle name="Comma 4 4 3 4" xfId="2475"/>
    <cellStyle name="Comma 4 4 4" xfId="695"/>
    <cellStyle name="Comma 4 4 4 2" xfId="1739"/>
    <cellStyle name="Comma 4 4 4 2 2" xfId="3616"/>
    <cellStyle name="Comma 4 4 4 3" xfId="2700"/>
    <cellStyle name="Comma 4 4 5" xfId="1217"/>
    <cellStyle name="Comma 4 4 5 2" xfId="3158"/>
    <cellStyle name="Comma 4 4 6" xfId="2242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2 2" xfId="3913"/>
    <cellStyle name="Comma 4 5 2 2 2 3" xfId="2997"/>
    <cellStyle name="Comma 4 5 2 2 3" xfId="1554"/>
    <cellStyle name="Comma 4 5 2 2 3 2" xfId="3463"/>
    <cellStyle name="Comma 4 5 2 2 4" xfId="2547"/>
    <cellStyle name="Comma 4 5 2 3" xfId="767"/>
    <cellStyle name="Comma 4 5 2 3 2" xfId="1811"/>
    <cellStyle name="Comma 4 5 2 3 2 2" xfId="3688"/>
    <cellStyle name="Comma 4 5 2 3 3" xfId="2772"/>
    <cellStyle name="Comma 4 5 2 4" xfId="1293"/>
    <cellStyle name="Comma 4 5 2 4 2" xfId="3234"/>
    <cellStyle name="Comma 4 5 2 5" xfId="2318"/>
    <cellStyle name="Comma 4 5 3" xfId="402"/>
    <cellStyle name="Comma 4 5 3 2" xfId="916"/>
    <cellStyle name="Comma 4 5 3 2 2" xfId="1960"/>
    <cellStyle name="Comma 4 5 3 2 2 2" xfId="3805"/>
    <cellStyle name="Comma 4 5 3 2 3" xfId="2889"/>
    <cellStyle name="Comma 4 5 3 3" xfId="1446"/>
    <cellStyle name="Comma 4 5 3 3 2" xfId="3355"/>
    <cellStyle name="Comma 4 5 3 4" xfId="2439"/>
    <cellStyle name="Comma 4 5 4" xfId="659"/>
    <cellStyle name="Comma 4 5 4 2" xfId="1703"/>
    <cellStyle name="Comma 4 5 4 2 2" xfId="3580"/>
    <cellStyle name="Comma 4 5 4 3" xfId="2664"/>
    <cellStyle name="Comma 4 5 5" xfId="1179"/>
    <cellStyle name="Comma 4 5 5 2" xfId="3120"/>
    <cellStyle name="Comma 4 5 6" xfId="2204"/>
    <cellStyle name="Comma 4 6" xfId="203"/>
    <cellStyle name="Comma 4 6 2" xfId="474"/>
    <cellStyle name="Comma 4 6 2 2" xfId="988"/>
    <cellStyle name="Comma 4 6 2 2 2" xfId="2032"/>
    <cellStyle name="Comma 4 6 2 2 2 2" xfId="3877"/>
    <cellStyle name="Comma 4 6 2 2 3" xfId="2961"/>
    <cellStyle name="Comma 4 6 2 3" xfId="1518"/>
    <cellStyle name="Comma 4 6 2 3 2" xfId="3427"/>
    <cellStyle name="Comma 4 6 2 4" xfId="2511"/>
    <cellStyle name="Comma 4 6 3" xfId="731"/>
    <cellStyle name="Comma 4 6 3 2" xfId="1775"/>
    <cellStyle name="Comma 4 6 3 2 2" xfId="3652"/>
    <cellStyle name="Comma 4 6 3 3" xfId="2736"/>
    <cellStyle name="Comma 4 6 4" xfId="1255"/>
    <cellStyle name="Comma 4 6 4 2" xfId="3196"/>
    <cellStyle name="Comma 4 6 5" xfId="2280"/>
    <cellStyle name="Comma 4 7" xfId="77"/>
    <cellStyle name="Comma 4 7 2" xfId="364"/>
    <cellStyle name="Comma 4 7 2 2" xfId="878"/>
    <cellStyle name="Comma 4 7 2 2 2" xfId="1922"/>
    <cellStyle name="Comma 4 7 2 2 2 2" xfId="3769"/>
    <cellStyle name="Comma 4 7 2 2 3" xfId="2853"/>
    <cellStyle name="Comma 4 7 2 3" xfId="1408"/>
    <cellStyle name="Comma 4 7 2 3 2" xfId="3319"/>
    <cellStyle name="Comma 4 7 2 4" xfId="2403"/>
    <cellStyle name="Comma 4 7 3" xfId="621"/>
    <cellStyle name="Comma 4 7 3 2" xfId="1665"/>
    <cellStyle name="Comma 4 7 3 2 2" xfId="3544"/>
    <cellStyle name="Comma 4 7 3 3" xfId="2628"/>
    <cellStyle name="Comma 4 7 4" xfId="1137"/>
    <cellStyle name="Comma 4 7 4 2" xfId="3080"/>
    <cellStyle name="Comma 4 7 5" xfId="2164"/>
    <cellStyle name="Comma 4 8" xfId="344"/>
    <cellStyle name="Comma 4 8 2" xfId="858"/>
    <cellStyle name="Comma 4 8 2 2" xfId="1902"/>
    <cellStyle name="Comma 4 8 2 2 2" xfId="3758"/>
    <cellStyle name="Comma 4 8 2 3" xfId="2842"/>
    <cellStyle name="Comma 4 8 3" xfId="1388"/>
    <cellStyle name="Comma 4 8 3 2" xfId="3308"/>
    <cellStyle name="Comma 4 8 4" xfId="2392"/>
    <cellStyle name="Comma 4 9" xfId="601"/>
    <cellStyle name="Comma 4 9 2" xfId="1645"/>
    <cellStyle name="Comma 4 9 2 2" xfId="3533"/>
    <cellStyle name="Comma 4 9 3" xfId="2617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2 2" xfId="3970"/>
    <cellStyle name="Comma 5 2 2 2 2 2 3" xfId="3054"/>
    <cellStyle name="Comma 5 2 2 2 2 3" xfId="1611"/>
    <cellStyle name="Comma 5 2 2 2 2 3 2" xfId="3520"/>
    <cellStyle name="Comma 5 2 2 2 2 4" xfId="2604"/>
    <cellStyle name="Comma 5 2 2 2 3" xfId="824"/>
    <cellStyle name="Comma 5 2 2 2 3 2" xfId="1868"/>
    <cellStyle name="Comma 5 2 2 2 3 2 2" xfId="3745"/>
    <cellStyle name="Comma 5 2 2 2 3 3" xfId="2829"/>
    <cellStyle name="Comma 5 2 2 2 4" xfId="1354"/>
    <cellStyle name="Comma 5 2 2 2 4 2" xfId="3295"/>
    <cellStyle name="Comma 5 2 2 2 5" xfId="2379"/>
    <cellStyle name="Comma 5 2 2 3" xfId="459"/>
    <cellStyle name="Comma 5 2 2 3 2" xfId="973"/>
    <cellStyle name="Comma 5 2 2 3 2 2" xfId="2017"/>
    <cellStyle name="Comma 5 2 2 3 2 2 2" xfId="3862"/>
    <cellStyle name="Comma 5 2 2 3 2 3" xfId="2946"/>
    <cellStyle name="Comma 5 2 2 3 3" xfId="1503"/>
    <cellStyle name="Comma 5 2 2 3 3 2" xfId="3412"/>
    <cellStyle name="Comma 5 2 2 3 4" xfId="2496"/>
    <cellStyle name="Comma 5 2 2 4" xfId="716"/>
    <cellStyle name="Comma 5 2 2 4 2" xfId="1760"/>
    <cellStyle name="Comma 5 2 2 4 2 2" xfId="3637"/>
    <cellStyle name="Comma 5 2 2 4 3" xfId="2721"/>
    <cellStyle name="Comma 5 2 2 5" xfId="1240"/>
    <cellStyle name="Comma 5 2 2 5 2" xfId="3181"/>
    <cellStyle name="Comma 5 2 2 6" xfId="2265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2 2" xfId="3934"/>
    <cellStyle name="Comma 5 2 3 2 2 2 3" xfId="3018"/>
    <cellStyle name="Comma 5 2 3 2 2 3" xfId="1575"/>
    <cellStyle name="Comma 5 2 3 2 2 3 2" xfId="3484"/>
    <cellStyle name="Comma 5 2 3 2 2 4" xfId="2568"/>
    <cellStyle name="Comma 5 2 3 2 3" xfId="788"/>
    <cellStyle name="Comma 5 2 3 2 3 2" xfId="1832"/>
    <cellStyle name="Comma 5 2 3 2 3 2 2" xfId="3709"/>
    <cellStyle name="Comma 5 2 3 2 3 3" xfId="2793"/>
    <cellStyle name="Comma 5 2 3 2 4" xfId="1316"/>
    <cellStyle name="Comma 5 2 3 2 4 2" xfId="3257"/>
    <cellStyle name="Comma 5 2 3 2 5" xfId="2341"/>
    <cellStyle name="Comma 5 2 3 3" xfId="423"/>
    <cellStyle name="Comma 5 2 3 3 2" xfId="937"/>
    <cellStyle name="Comma 5 2 3 3 2 2" xfId="1981"/>
    <cellStyle name="Comma 5 2 3 3 2 2 2" xfId="3826"/>
    <cellStyle name="Comma 5 2 3 3 2 3" xfId="2910"/>
    <cellStyle name="Comma 5 2 3 3 3" xfId="1467"/>
    <cellStyle name="Comma 5 2 3 3 3 2" xfId="3376"/>
    <cellStyle name="Comma 5 2 3 3 4" xfId="2460"/>
    <cellStyle name="Comma 5 2 3 4" xfId="680"/>
    <cellStyle name="Comma 5 2 3 4 2" xfId="1724"/>
    <cellStyle name="Comma 5 2 3 4 2 2" xfId="3601"/>
    <cellStyle name="Comma 5 2 3 4 3" xfId="2685"/>
    <cellStyle name="Comma 5 2 3 5" xfId="1202"/>
    <cellStyle name="Comma 5 2 3 5 2" xfId="3143"/>
    <cellStyle name="Comma 5 2 3 6" xfId="2227"/>
    <cellStyle name="Comma 5 2 4" xfId="227"/>
    <cellStyle name="Comma 5 2 4 2" xfId="495"/>
    <cellStyle name="Comma 5 2 4 2 2" xfId="1009"/>
    <cellStyle name="Comma 5 2 4 2 2 2" xfId="2053"/>
    <cellStyle name="Comma 5 2 4 2 2 2 2" xfId="3898"/>
    <cellStyle name="Comma 5 2 4 2 2 3" xfId="2982"/>
    <cellStyle name="Comma 5 2 4 2 3" xfId="1539"/>
    <cellStyle name="Comma 5 2 4 2 3 2" xfId="3448"/>
    <cellStyle name="Comma 5 2 4 2 4" xfId="2532"/>
    <cellStyle name="Comma 5 2 4 3" xfId="752"/>
    <cellStyle name="Comma 5 2 4 3 2" xfId="1796"/>
    <cellStyle name="Comma 5 2 4 3 2 2" xfId="3673"/>
    <cellStyle name="Comma 5 2 4 3 3" xfId="2757"/>
    <cellStyle name="Comma 5 2 4 4" xfId="1278"/>
    <cellStyle name="Comma 5 2 4 4 2" xfId="3219"/>
    <cellStyle name="Comma 5 2 4 5" xfId="2303"/>
    <cellStyle name="Comma 5 2 5" xfId="387"/>
    <cellStyle name="Comma 5 2 5 2" xfId="901"/>
    <cellStyle name="Comma 5 2 5 2 2" xfId="1945"/>
    <cellStyle name="Comma 5 2 5 2 2 2" xfId="3790"/>
    <cellStyle name="Comma 5 2 5 2 3" xfId="2874"/>
    <cellStyle name="Comma 5 2 5 3" xfId="1431"/>
    <cellStyle name="Comma 5 2 5 3 2" xfId="3340"/>
    <cellStyle name="Comma 5 2 5 4" xfId="2424"/>
    <cellStyle name="Comma 5 2 6" xfId="644"/>
    <cellStyle name="Comma 5 2 6 2" xfId="1688"/>
    <cellStyle name="Comma 5 2 6 2 2" xfId="3565"/>
    <cellStyle name="Comma 5 2 6 3" xfId="2649"/>
    <cellStyle name="Comma 5 2 7" xfId="1164"/>
    <cellStyle name="Comma 5 2 7 2" xfId="3105"/>
    <cellStyle name="Comma 5 2 8" xfId="2189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2 2" xfId="3952"/>
    <cellStyle name="Comma 5 3 2 2 2 3" xfId="3036"/>
    <cellStyle name="Comma 5 3 2 2 3" xfId="1593"/>
    <cellStyle name="Comma 5 3 2 2 3 2" xfId="3502"/>
    <cellStyle name="Comma 5 3 2 2 4" xfId="2586"/>
    <cellStyle name="Comma 5 3 2 3" xfId="806"/>
    <cellStyle name="Comma 5 3 2 3 2" xfId="1850"/>
    <cellStyle name="Comma 5 3 2 3 2 2" xfId="3727"/>
    <cellStyle name="Comma 5 3 2 3 3" xfId="2811"/>
    <cellStyle name="Comma 5 3 2 4" xfId="1335"/>
    <cellStyle name="Comma 5 3 2 4 2" xfId="3276"/>
    <cellStyle name="Comma 5 3 2 5" xfId="2360"/>
    <cellStyle name="Comma 5 3 3" xfId="441"/>
    <cellStyle name="Comma 5 3 3 2" xfId="955"/>
    <cellStyle name="Comma 5 3 3 2 2" xfId="1999"/>
    <cellStyle name="Comma 5 3 3 2 2 2" xfId="3844"/>
    <cellStyle name="Comma 5 3 3 2 3" xfId="2928"/>
    <cellStyle name="Comma 5 3 3 3" xfId="1485"/>
    <cellStyle name="Comma 5 3 3 3 2" xfId="3394"/>
    <cellStyle name="Comma 5 3 3 4" xfId="2478"/>
    <cellStyle name="Comma 5 3 4" xfId="698"/>
    <cellStyle name="Comma 5 3 4 2" xfId="1742"/>
    <cellStyle name="Comma 5 3 4 2 2" xfId="3619"/>
    <cellStyle name="Comma 5 3 4 3" xfId="2703"/>
    <cellStyle name="Comma 5 3 5" xfId="1221"/>
    <cellStyle name="Comma 5 3 5 2" xfId="3162"/>
    <cellStyle name="Comma 5 3 6" xfId="2246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2 2" xfId="3916"/>
    <cellStyle name="Comma 5 4 2 2 2 3" xfId="3000"/>
    <cellStyle name="Comma 5 4 2 2 3" xfId="1557"/>
    <cellStyle name="Comma 5 4 2 2 3 2" xfId="3466"/>
    <cellStyle name="Comma 5 4 2 2 4" xfId="2550"/>
    <cellStyle name="Comma 5 4 2 3" xfId="770"/>
    <cellStyle name="Comma 5 4 2 3 2" xfId="1814"/>
    <cellStyle name="Comma 5 4 2 3 2 2" xfId="3691"/>
    <cellStyle name="Comma 5 4 2 3 3" xfId="2775"/>
    <cellStyle name="Comma 5 4 2 4" xfId="1297"/>
    <cellStyle name="Comma 5 4 2 4 2" xfId="3238"/>
    <cellStyle name="Comma 5 4 2 5" xfId="2322"/>
    <cellStyle name="Comma 5 4 3" xfId="405"/>
    <cellStyle name="Comma 5 4 3 2" xfId="919"/>
    <cellStyle name="Comma 5 4 3 2 2" xfId="1963"/>
    <cellStyle name="Comma 5 4 3 2 2 2" xfId="3808"/>
    <cellStyle name="Comma 5 4 3 2 3" xfId="2892"/>
    <cellStyle name="Comma 5 4 3 3" xfId="1449"/>
    <cellStyle name="Comma 5 4 3 3 2" xfId="3358"/>
    <cellStyle name="Comma 5 4 3 4" xfId="2442"/>
    <cellStyle name="Comma 5 4 4" xfId="662"/>
    <cellStyle name="Comma 5 4 4 2" xfId="1706"/>
    <cellStyle name="Comma 5 4 4 2 2" xfId="3583"/>
    <cellStyle name="Comma 5 4 4 3" xfId="2667"/>
    <cellStyle name="Comma 5 4 5" xfId="1183"/>
    <cellStyle name="Comma 5 4 5 2" xfId="3124"/>
    <cellStyle name="Comma 5 4 6" xfId="2208"/>
    <cellStyle name="Comma 5 5" xfId="207"/>
    <cellStyle name="Comma 5 5 2" xfId="477"/>
    <cellStyle name="Comma 5 5 2 2" xfId="991"/>
    <cellStyle name="Comma 5 5 2 2 2" xfId="2035"/>
    <cellStyle name="Comma 5 5 2 2 2 2" xfId="3880"/>
    <cellStyle name="Comma 5 5 2 2 3" xfId="2964"/>
    <cellStyle name="Comma 5 5 2 3" xfId="1521"/>
    <cellStyle name="Comma 5 5 2 3 2" xfId="3430"/>
    <cellStyle name="Comma 5 5 2 4" xfId="2514"/>
    <cellStyle name="Comma 5 5 3" xfId="734"/>
    <cellStyle name="Comma 5 5 3 2" xfId="1778"/>
    <cellStyle name="Comma 5 5 3 2 2" xfId="3655"/>
    <cellStyle name="Comma 5 5 3 3" xfId="2739"/>
    <cellStyle name="Comma 5 5 4" xfId="1259"/>
    <cellStyle name="Comma 5 5 4 2" xfId="3200"/>
    <cellStyle name="Comma 5 5 5" xfId="2284"/>
    <cellStyle name="Comma 5 6" xfId="368"/>
    <cellStyle name="Comma 5 6 2" xfId="882"/>
    <cellStyle name="Comma 5 6 2 2" xfId="1926"/>
    <cellStyle name="Comma 5 6 2 2 2" xfId="3772"/>
    <cellStyle name="Comma 5 6 2 3" xfId="2856"/>
    <cellStyle name="Comma 5 6 3" xfId="1412"/>
    <cellStyle name="Comma 5 6 3 2" xfId="3322"/>
    <cellStyle name="Comma 5 6 4" xfId="2406"/>
    <cellStyle name="Comma 5 7" xfId="625"/>
    <cellStyle name="Comma 5 7 2" xfId="1669"/>
    <cellStyle name="Comma 5 7 2 2" xfId="3547"/>
    <cellStyle name="Comma 5 7 3" xfId="2631"/>
    <cellStyle name="Comma 5 8" xfId="1144"/>
    <cellStyle name="Comma 5 8 2" xfId="3086"/>
    <cellStyle name="Comma 5 9" xfId="2170"/>
    <cellStyle name="Comma 6" xfId="81"/>
    <cellStyle name="Comma 6 2" xfId="104"/>
    <cellStyle name="Comma 6 2 2" xfId="182"/>
    <cellStyle name="Comma 6 2 2 2" xfId="304"/>
    <cellStyle name="Comma 6 2 2 2 2" xfId="1353"/>
    <cellStyle name="Comma 6 2 2 2 2 2" xfId="3294"/>
    <cellStyle name="Comma 6 2 2 2 3" xfId="2378"/>
    <cellStyle name="Comma 6 2 2 3" xfId="1239"/>
    <cellStyle name="Comma 6 2 2 3 2" xfId="3180"/>
    <cellStyle name="Comma 6 2 2 4" xfId="2264"/>
    <cellStyle name="Comma 6 2 3" xfId="143"/>
    <cellStyle name="Comma 6 2 3 2" xfId="265"/>
    <cellStyle name="Comma 6 2 3 2 2" xfId="1315"/>
    <cellStyle name="Comma 6 2 3 2 2 2" xfId="3256"/>
    <cellStyle name="Comma 6 2 3 2 3" xfId="2340"/>
    <cellStyle name="Comma 6 2 3 3" xfId="1201"/>
    <cellStyle name="Comma 6 2 3 3 2" xfId="3142"/>
    <cellStyle name="Comma 6 2 3 4" xfId="2226"/>
    <cellStyle name="Comma 6 2 4" xfId="226"/>
    <cellStyle name="Comma 6 2 4 2" xfId="1277"/>
    <cellStyle name="Comma 6 2 4 2 2" xfId="3218"/>
    <cellStyle name="Comma 6 2 4 3" xfId="2302"/>
    <cellStyle name="Comma 6 2 5" xfId="1163"/>
    <cellStyle name="Comma 6 2 5 2" xfId="3104"/>
    <cellStyle name="Comma 6 2 6" xfId="2188"/>
    <cellStyle name="Comma 6 3" xfId="162"/>
    <cellStyle name="Comma 6 3 2" xfId="284"/>
    <cellStyle name="Comma 6 3 2 2" xfId="1334"/>
    <cellStyle name="Comma 6 3 2 2 2" xfId="3275"/>
    <cellStyle name="Comma 6 3 2 3" xfId="2359"/>
    <cellStyle name="Comma 6 3 3" xfId="1220"/>
    <cellStyle name="Comma 6 3 3 2" xfId="3161"/>
    <cellStyle name="Comma 6 3 4" xfId="2245"/>
    <cellStyle name="Comma 6 4" xfId="124"/>
    <cellStyle name="Comma 6 4 2" xfId="246"/>
    <cellStyle name="Comma 6 4 2 2" xfId="1296"/>
    <cellStyle name="Comma 6 4 2 2 2" xfId="3237"/>
    <cellStyle name="Comma 6 4 2 3" xfId="2321"/>
    <cellStyle name="Comma 6 4 3" xfId="1182"/>
    <cellStyle name="Comma 6 4 3 2" xfId="3123"/>
    <cellStyle name="Comma 6 4 4" xfId="2207"/>
    <cellStyle name="Comma 6 5" xfId="206"/>
    <cellStyle name="Comma 6 5 2" xfId="1258"/>
    <cellStyle name="Comma 6 5 2 2" xfId="3199"/>
    <cellStyle name="Comma 6 5 3" xfId="2283"/>
    <cellStyle name="Comma 6 6" xfId="1141"/>
    <cellStyle name="Comma 6 6 2" xfId="3084"/>
    <cellStyle name="Comma 6 7" xfId="2168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2 2" xfId="3961"/>
    <cellStyle name="Comma 7 2 2 2 2 3" xfId="3045"/>
    <cellStyle name="Comma 7 2 2 2 3" xfId="1602"/>
    <cellStyle name="Comma 7 2 2 2 3 2" xfId="3511"/>
    <cellStyle name="Comma 7 2 2 2 4" xfId="2595"/>
    <cellStyle name="Comma 7 2 2 3" xfId="815"/>
    <cellStyle name="Comma 7 2 2 3 2" xfId="1859"/>
    <cellStyle name="Comma 7 2 2 3 2 2" xfId="3736"/>
    <cellStyle name="Comma 7 2 2 3 3" xfId="2820"/>
    <cellStyle name="Comma 7 2 2 4" xfId="1344"/>
    <cellStyle name="Comma 7 2 2 4 2" xfId="3285"/>
    <cellStyle name="Comma 7 2 2 5" xfId="2369"/>
    <cellStyle name="Comma 7 2 3" xfId="450"/>
    <cellStyle name="Comma 7 2 3 2" xfId="964"/>
    <cellStyle name="Comma 7 2 3 2 2" xfId="2008"/>
    <cellStyle name="Comma 7 2 3 2 2 2" xfId="3853"/>
    <cellStyle name="Comma 7 2 3 2 3" xfId="2937"/>
    <cellStyle name="Comma 7 2 3 3" xfId="1494"/>
    <cellStyle name="Comma 7 2 3 3 2" xfId="3403"/>
    <cellStyle name="Comma 7 2 3 4" xfId="2487"/>
    <cellStyle name="Comma 7 2 4" xfId="707"/>
    <cellStyle name="Comma 7 2 4 2" xfId="1751"/>
    <cellStyle name="Comma 7 2 4 2 2" xfId="3628"/>
    <cellStyle name="Comma 7 2 4 3" xfId="2712"/>
    <cellStyle name="Comma 7 2 5" xfId="1230"/>
    <cellStyle name="Comma 7 2 5 2" xfId="3171"/>
    <cellStyle name="Comma 7 2 6" xfId="2255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2 2" xfId="3925"/>
    <cellStyle name="Comma 7 3 2 2 2 3" xfId="3009"/>
    <cellStyle name="Comma 7 3 2 2 3" xfId="1566"/>
    <cellStyle name="Comma 7 3 2 2 3 2" xfId="3475"/>
    <cellStyle name="Comma 7 3 2 2 4" xfId="2559"/>
    <cellStyle name="Comma 7 3 2 3" xfId="779"/>
    <cellStyle name="Comma 7 3 2 3 2" xfId="1823"/>
    <cellStyle name="Comma 7 3 2 3 2 2" xfId="3700"/>
    <cellStyle name="Comma 7 3 2 3 3" xfId="2784"/>
    <cellStyle name="Comma 7 3 2 4" xfId="1306"/>
    <cellStyle name="Comma 7 3 2 4 2" xfId="3247"/>
    <cellStyle name="Comma 7 3 2 5" xfId="2331"/>
    <cellStyle name="Comma 7 3 3" xfId="414"/>
    <cellStyle name="Comma 7 3 3 2" xfId="928"/>
    <cellStyle name="Comma 7 3 3 2 2" xfId="1972"/>
    <cellStyle name="Comma 7 3 3 2 2 2" xfId="3817"/>
    <cellStyle name="Comma 7 3 3 2 3" xfId="2901"/>
    <cellStyle name="Comma 7 3 3 3" xfId="1458"/>
    <cellStyle name="Comma 7 3 3 3 2" xfId="3367"/>
    <cellStyle name="Comma 7 3 3 4" xfId="2451"/>
    <cellStyle name="Comma 7 3 4" xfId="671"/>
    <cellStyle name="Comma 7 3 4 2" xfId="1715"/>
    <cellStyle name="Comma 7 3 4 2 2" xfId="3592"/>
    <cellStyle name="Comma 7 3 4 3" xfId="2676"/>
    <cellStyle name="Comma 7 3 5" xfId="1192"/>
    <cellStyle name="Comma 7 3 5 2" xfId="3133"/>
    <cellStyle name="Comma 7 3 6" xfId="2217"/>
    <cellStyle name="Comma 7 4" xfId="217"/>
    <cellStyle name="Comma 7 4 2" xfId="486"/>
    <cellStyle name="Comma 7 4 2 2" xfId="1000"/>
    <cellStyle name="Comma 7 4 2 2 2" xfId="2044"/>
    <cellStyle name="Comma 7 4 2 2 2 2" xfId="3889"/>
    <cellStyle name="Comma 7 4 2 2 3" xfId="2973"/>
    <cellStyle name="Comma 7 4 2 3" xfId="1530"/>
    <cellStyle name="Comma 7 4 2 3 2" xfId="3439"/>
    <cellStyle name="Comma 7 4 2 4" xfId="2523"/>
    <cellStyle name="Comma 7 4 3" xfId="743"/>
    <cellStyle name="Comma 7 4 3 2" xfId="1787"/>
    <cellStyle name="Comma 7 4 3 2 2" xfId="3664"/>
    <cellStyle name="Comma 7 4 3 3" xfId="2748"/>
    <cellStyle name="Comma 7 4 4" xfId="1268"/>
    <cellStyle name="Comma 7 4 4 2" xfId="3209"/>
    <cellStyle name="Comma 7 4 5" xfId="2293"/>
    <cellStyle name="Comma 7 5" xfId="378"/>
    <cellStyle name="Comma 7 5 2" xfId="892"/>
    <cellStyle name="Comma 7 5 2 2" xfId="1936"/>
    <cellStyle name="Comma 7 5 2 2 2" xfId="3781"/>
    <cellStyle name="Comma 7 5 2 3" xfId="2865"/>
    <cellStyle name="Comma 7 5 3" xfId="1422"/>
    <cellStyle name="Comma 7 5 3 2" xfId="3331"/>
    <cellStyle name="Comma 7 5 4" xfId="2415"/>
    <cellStyle name="Comma 7 6" xfId="635"/>
    <cellStyle name="Comma 7 6 2" xfId="1679"/>
    <cellStyle name="Comma 7 6 2 2" xfId="3556"/>
    <cellStyle name="Comma 7 6 3" xfId="2640"/>
    <cellStyle name="Comma 7 7" xfId="1154"/>
    <cellStyle name="Comma 7 7 2" xfId="3095"/>
    <cellStyle name="Comma 7 8" xfId="2179"/>
    <cellStyle name="Comma 8" xfId="153"/>
    <cellStyle name="Comma 8 2" xfId="275"/>
    <cellStyle name="Comma 8 2 2" xfId="540"/>
    <cellStyle name="Comma 8 2 2 2" xfId="1054"/>
    <cellStyle name="Comma 8 2 2 2 2" xfId="2098"/>
    <cellStyle name="Comma 8 2 2 2 2 2" xfId="3943"/>
    <cellStyle name="Comma 8 2 2 2 3" xfId="3027"/>
    <cellStyle name="Comma 8 2 2 3" xfId="1584"/>
    <cellStyle name="Comma 8 2 2 3 2" xfId="3493"/>
    <cellStyle name="Comma 8 2 2 4" xfId="2577"/>
    <cellStyle name="Comma 8 2 3" xfId="797"/>
    <cellStyle name="Comma 8 2 3 2" xfId="1841"/>
    <cellStyle name="Comma 8 2 3 2 2" xfId="3718"/>
    <cellStyle name="Comma 8 2 3 3" xfId="2802"/>
    <cellStyle name="Comma 8 2 4" xfId="1325"/>
    <cellStyle name="Comma 8 2 4 2" xfId="3266"/>
    <cellStyle name="Comma 8 2 5" xfId="2350"/>
    <cellStyle name="Comma 8 3" xfId="432"/>
    <cellStyle name="Comma 8 3 2" xfId="946"/>
    <cellStyle name="Comma 8 3 2 2" xfId="1990"/>
    <cellStyle name="Comma 8 3 2 2 2" xfId="3835"/>
    <cellStyle name="Comma 8 3 2 3" xfId="2919"/>
    <cellStyle name="Comma 8 3 3" xfId="1476"/>
    <cellStyle name="Comma 8 3 3 2" xfId="3385"/>
    <cellStyle name="Comma 8 3 4" xfId="2469"/>
    <cellStyle name="Comma 8 4" xfId="689"/>
    <cellStyle name="Comma 8 4 2" xfId="1733"/>
    <cellStyle name="Comma 8 4 2 2" xfId="3610"/>
    <cellStyle name="Comma 8 4 3" xfId="2694"/>
    <cellStyle name="Comma 8 5" xfId="1211"/>
    <cellStyle name="Comma 8 5 2" xfId="3152"/>
    <cellStyle name="Comma 8 6" xfId="2236"/>
    <cellStyle name="Comma 9" xfId="115"/>
    <cellStyle name="Comma 9 2" xfId="237"/>
    <cellStyle name="Comma 9 2 2" xfId="504"/>
    <cellStyle name="Comma 9 2 2 2" xfId="1018"/>
    <cellStyle name="Comma 9 2 2 2 2" xfId="2062"/>
    <cellStyle name="Comma 9 2 2 2 2 2" xfId="3907"/>
    <cellStyle name="Comma 9 2 2 2 3" xfId="2991"/>
    <cellStyle name="Comma 9 2 2 3" xfId="1548"/>
    <cellStyle name="Comma 9 2 2 3 2" xfId="3457"/>
    <cellStyle name="Comma 9 2 2 4" xfId="2541"/>
    <cellStyle name="Comma 9 2 3" xfId="761"/>
    <cellStyle name="Comma 9 2 3 2" xfId="1805"/>
    <cellStyle name="Comma 9 2 3 2 2" xfId="3682"/>
    <cellStyle name="Comma 9 2 3 3" xfId="2766"/>
    <cellStyle name="Comma 9 2 4" xfId="1287"/>
    <cellStyle name="Comma 9 2 4 2" xfId="3228"/>
    <cellStyle name="Comma 9 2 5" xfId="2312"/>
    <cellStyle name="Comma 9 3" xfId="396"/>
    <cellStyle name="Comma 9 3 2" xfId="910"/>
    <cellStyle name="Comma 9 3 2 2" xfId="1954"/>
    <cellStyle name="Comma 9 3 2 2 2" xfId="3799"/>
    <cellStyle name="Comma 9 3 2 3" xfId="2883"/>
    <cellStyle name="Comma 9 3 3" xfId="1440"/>
    <cellStyle name="Comma 9 3 3 2" xfId="3349"/>
    <cellStyle name="Comma 9 3 4" xfId="2433"/>
    <cellStyle name="Comma 9 4" xfId="653"/>
    <cellStyle name="Comma 9 4 2" xfId="1697"/>
    <cellStyle name="Comma 9 4 2 2" xfId="3574"/>
    <cellStyle name="Comma 9 4 3" xfId="2658"/>
    <cellStyle name="Comma 9 5" xfId="1173"/>
    <cellStyle name="Comma 9 5 2" xfId="3114"/>
    <cellStyle name="Comma 9 6" xfId="219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5 2 2" xfId="3083"/>
    <cellStyle name="Normal 2 5 3" xfId="2167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3979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3 2 2" xfId="3085"/>
    <cellStyle name="Percent 3 3" xfId="2169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topLeftCell="A110" zoomScaleNormal="100" workbookViewId="0">
      <selection activeCell="J110" sqref="J110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43524</v>
      </c>
    </row>
    <row r="7" spans="1:12" x14ac:dyDescent="0.2">
      <c r="A7" s="107" t="str">
        <f>"Market Profile - "&amp; TEXT($H$3,"MMM")&amp;" "&amp;TEXT($H$3,"YYYY")</f>
        <v>Market Profile - Feb 2019</v>
      </c>
    </row>
    <row r="8" spans="1:12" x14ac:dyDescent="0.2">
      <c r="A8" s="107"/>
      <c r="G8" s="375" t="s">
        <v>199</v>
      </c>
      <c r="H8" s="375"/>
      <c r="I8" s="375"/>
    </row>
    <row r="9" spans="1:12" x14ac:dyDescent="0.2">
      <c r="A9" s="107"/>
      <c r="G9" s="375"/>
      <c r="H9" s="375"/>
      <c r="I9" s="375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4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4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5"/>
      <c r="B15" s="282" t="str">
        <f>TEXT($H$3,"MMM")&amp;" "&amp;TEXT($H$3,"YYYY")</f>
        <v>Feb 2019</v>
      </c>
      <c r="C15" s="282" t="str">
        <f>TEXT($H$3,"YYYY")</f>
        <v>2019</v>
      </c>
      <c r="D15" s="283">
        <f>TEXT($H$3,"YYYY")-1</f>
        <v>2018</v>
      </c>
      <c r="E15" s="284" t="s">
        <v>6</v>
      </c>
      <c r="F15" s="285">
        <f>TEXT($H$3,"YYYY")-1</f>
        <v>2018</v>
      </c>
      <c r="G15" s="285">
        <f>TEXT($H$3,"YYYY")-2</f>
        <v>2017</v>
      </c>
      <c r="H15" s="285">
        <f>TEXT($H$3,"YYYY")-3</f>
        <v>2016</v>
      </c>
      <c r="I15" s="285">
        <f>TEXT($H$3,"YYYY")-4</f>
        <v>2015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5835845</v>
      </c>
      <c r="C16" s="127">
        <f>Data!D5</f>
        <v>11564325</v>
      </c>
      <c r="D16" s="249">
        <f>Data!D8</f>
        <v>11891900</v>
      </c>
      <c r="E16" s="286">
        <f>(C16-D16)/ABS(D16)</f>
        <v>-2.7546060764049481E-2</v>
      </c>
      <c r="F16" s="367">
        <v>70356164</v>
      </c>
      <c r="G16" s="367">
        <v>67786095</v>
      </c>
      <c r="H16" s="367">
        <v>71179762</v>
      </c>
      <c r="I16" s="367">
        <v>61894253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6756.1568269999998</v>
      </c>
      <c r="C17" s="127">
        <f>Data!B5/1000000</f>
        <v>12424.288710999999</v>
      </c>
      <c r="D17" s="249">
        <f>Data!B8/1000000</f>
        <v>15109.422658</v>
      </c>
      <c r="E17" s="286">
        <f t="shared" ref="E17:E18" si="0">(C17-D17)/ABS(D17)</f>
        <v>-0.17771254453447299</v>
      </c>
      <c r="F17" s="367">
        <v>91717</v>
      </c>
      <c r="G17" s="367">
        <v>85958</v>
      </c>
      <c r="H17" s="367">
        <v>79501</v>
      </c>
      <c r="I17" s="367">
        <v>74406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384434.73704502534</v>
      </c>
      <c r="C18" s="127">
        <f>Data!C5/1000000</f>
        <v>753544.55958562577</v>
      </c>
      <c r="D18" s="249">
        <f>Data!C8/1000000</f>
        <v>1054535.4441839557</v>
      </c>
      <c r="E18" s="286">
        <f t="shared" si="0"/>
        <v>-0.28542509998917054</v>
      </c>
      <c r="F18" s="367">
        <v>5537665</v>
      </c>
      <c r="G18" s="367">
        <v>5479433</v>
      </c>
      <c r="H18" s="367">
        <v>5892768</v>
      </c>
      <c r="I18" s="367">
        <v>5015419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7"/>
      <c r="G19" s="367"/>
      <c r="H19" s="367"/>
      <c r="I19" s="367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7"/>
      <c r="G20" s="367"/>
      <c r="H20" s="373"/>
      <c r="I20" s="373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891</v>
      </c>
      <c r="C21" s="127">
        <f>Data!F5</f>
        <v>1987</v>
      </c>
      <c r="D21" s="249">
        <f>Data!F8</f>
        <v>4909</v>
      </c>
      <c r="E21" s="286">
        <f>(C21-D21)/ABS(D21)</f>
        <v>-0.59523324506009367</v>
      </c>
      <c r="F21" s="367">
        <v>21951</v>
      </c>
      <c r="G21" s="367">
        <v>36150</v>
      </c>
      <c r="H21" s="367">
        <v>38735</v>
      </c>
      <c r="I21" s="367">
        <v>30897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552.95890199999997</v>
      </c>
      <c r="C22" s="127">
        <f>Data!G5/1000000</f>
        <v>1002.539576</v>
      </c>
      <c r="D22" s="249">
        <f>Data!G8/1000000</f>
        <v>1200.7823249999999</v>
      </c>
      <c r="E22" s="286">
        <f t="shared" ref="E22:E23" si="1">(C22-D22)/ABS(D22)</f>
        <v>-0.16509465943379864</v>
      </c>
      <c r="F22" s="367">
        <v>8350</v>
      </c>
      <c r="G22" s="367">
        <v>10343</v>
      </c>
      <c r="H22" s="367">
        <v>6935</v>
      </c>
      <c r="I22" s="367">
        <v>7273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21405.447134010356</v>
      </c>
      <c r="C23" s="128">
        <f>Data!H5/1000000</f>
        <v>38996.24837092073</v>
      </c>
      <c r="D23" s="290">
        <f>Data!H8/1000000</f>
        <v>61662.070630160553</v>
      </c>
      <c r="E23" s="291">
        <f t="shared" si="1"/>
        <v>-0.36758127042450256</v>
      </c>
      <c r="F23" s="368">
        <v>328909</v>
      </c>
      <c r="G23" s="368">
        <v>417329</v>
      </c>
      <c r="H23" s="368">
        <v>379199</v>
      </c>
      <c r="I23" s="368">
        <v>336258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2"/>
      <c r="H26" s="281"/>
      <c r="I26" s="281"/>
      <c r="K26" s="172"/>
      <c r="L26" s="172"/>
    </row>
    <row r="27" spans="1:12" s="107" customFormat="1" ht="12.75" customHeight="1" x14ac:dyDescent="0.25">
      <c r="A27" s="293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4"/>
      <c r="B28" s="282" t="str">
        <f>TEXT($H$3,"MMM")&amp;" "&amp;TEXT($H$3,"YYYY")</f>
        <v>Feb 2019</v>
      </c>
      <c r="C28" s="282" t="str">
        <f>$C$15</f>
        <v>2019</v>
      </c>
      <c r="D28" s="282">
        <f>$D$15</f>
        <v>2018</v>
      </c>
      <c r="E28" s="284" t="s">
        <v>6</v>
      </c>
      <c r="F28" s="284">
        <f>$F$15</f>
        <v>2018</v>
      </c>
      <c r="G28" s="294">
        <f>$G$15</f>
        <v>2017</v>
      </c>
      <c r="H28" s="294">
        <f>$H$15</f>
        <v>2016</v>
      </c>
      <c r="I28" s="294">
        <f>$I$15</f>
        <v>2015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75445.602730330007</v>
      </c>
      <c r="C29" s="249">
        <f>Data!O5/1000000</f>
        <v>148622.94733907998</v>
      </c>
      <c r="D29" s="249">
        <f>Data!O8/1000000</f>
        <v>239579.70004321</v>
      </c>
      <c r="E29" s="195">
        <f>C29-D29</f>
        <v>-90956.75270413002</v>
      </c>
      <c r="F29" s="364">
        <v>1074516</v>
      </c>
      <c r="G29" s="364">
        <v>992119</v>
      </c>
      <c r="H29" s="295">
        <v>1010947</v>
      </c>
      <c r="I29" s="295">
        <v>969468</v>
      </c>
      <c r="J29" s="129"/>
    </row>
    <row r="30" spans="1:12" ht="12.75" customHeight="1" x14ac:dyDescent="0.2">
      <c r="A30" s="248" t="s">
        <v>11</v>
      </c>
      <c r="B30" s="249">
        <f>Data!P2/1000000</f>
        <v>-74980.796472529997</v>
      </c>
      <c r="C30" s="249">
        <f>Data!P5/1000000</f>
        <v>-163099.98820530999</v>
      </c>
      <c r="D30" s="249">
        <f>Data!P8/1000000</f>
        <v>-213869.9628979</v>
      </c>
      <c r="E30" s="195">
        <f>C30-D30</f>
        <v>50769.974692590011</v>
      </c>
      <c r="F30" s="364">
        <v>-1127559</v>
      </c>
      <c r="G30" s="364">
        <v>-1039685</v>
      </c>
      <c r="H30" s="295">
        <v>-1134812</v>
      </c>
      <c r="I30" s="295">
        <v>-970485</v>
      </c>
      <c r="J30" s="129"/>
    </row>
    <row r="31" spans="1:12" s="107" customFormat="1" ht="12.75" customHeight="1" thickBot="1" x14ac:dyDescent="0.3">
      <c r="A31" s="296" t="s">
        <v>12</v>
      </c>
      <c r="B31" s="297">
        <f>Data!Q2/1000000</f>
        <v>464.80625780000003</v>
      </c>
      <c r="C31" s="297">
        <f>Data!Q5/1000000</f>
        <v>-14477.04086623</v>
      </c>
      <c r="D31" s="297">
        <f>Data!Q8/1000000</f>
        <v>25709.737145310002</v>
      </c>
      <c r="E31" s="298">
        <f>C31-D31</f>
        <v>-40186.778011540002</v>
      </c>
      <c r="F31" s="369">
        <v>-53042</v>
      </c>
      <c r="G31" s="369">
        <v>-47566</v>
      </c>
      <c r="H31" s="369">
        <v>-123865</v>
      </c>
      <c r="I31" s="369">
        <v>-1017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299"/>
      <c r="B34" s="280" t="s">
        <v>1</v>
      </c>
      <c r="C34" s="280" t="s">
        <v>179</v>
      </c>
      <c r="D34" s="280" t="s">
        <v>179</v>
      </c>
      <c r="E34" s="300" t="s">
        <v>2</v>
      </c>
      <c r="F34" s="300"/>
      <c r="G34" s="292"/>
      <c r="H34" s="300"/>
      <c r="I34" s="299"/>
      <c r="K34" s="171"/>
      <c r="L34" s="172"/>
    </row>
    <row r="35" spans="1:14" s="107" customFormat="1" ht="12.75" customHeight="1" x14ac:dyDescent="0.25">
      <c r="A35" s="299"/>
      <c r="B35" s="280" t="s">
        <v>3</v>
      </c>
      <c r="C35" s="280" t="s">
        <v>4</v>
      </c>
      <c r="D35" s="280" t="s">
        <v>4</v>
      </c>
      <c r="E35" s="300" t="s">
        <v>5</v>
      </c>
      <c r="F35" s="280"/>
      <c r="G35" s="292"/>
      <c r="H35" s="300"/>
      <c r="I35" s="299"/>
      <c r="K35" s="171"/>
      <c r="L35" s="172"/>
    </row>
    <row r="36" spans="1:14" s="107" customFormat="1" ht="12.75" customHeight="1" thickBot="1" x14ac:dyDescent="0.3">
      <c r="A36" s="301"/>
      <c r="B36" s="282" t="str">
        <f>TEXT($H$3,"MMM")&amp;" "&amp;TEXT($H$3,"YYYY")</f>
        <v>Feb 2019</v>
      </c>
      <c r="C36" s="282" t="str">
        <f>$C$15</f>
        <v>2019</v>
      </c>
      <c r="D36" s="282">
        <f>$D$15</f>
        <v>2018</v>
      </c>
      <c r="E36" s="284" t="s">
        <v>6</v>
      </c>
      <c r="F36" s="284">
        <f>$F$15</f>
        <v>2018</v>
      </c>
      <c r="G36" s="294">
        <f>$G$15</f>
        <v>2017</v>
      </c>
      <c r="H36" s="294">
        <f>$H$15</f>
        <v>2016</v>
      </c>
      <c r="I36" s="294">
        <f>$I$15</f>
        <v>2015</v>
      </c>
      <c r="K36" s="173"/>
      <c r="L36" s="178"/>
    </row>
    <row r="37" spans="1:14" ht="12.75" customHeight="1" x14ac:dyDescent="0.25">
      <c r="A37" s="302" t="s">
        <v>150</v>
      </c>
      <c r="B37" s="303"/>
      <c r="C37" s="303"/>
      <c r="D37" s="303"/>
      <c r="E37" s="302"/>
      <c r="F37" s="302"/>
      <c r="G37" s="287"/>
      <c r="H37" s="302"/>
      <c r="I37" s="302"/>
      <c r="K37" s="171"/>
      <c r="M37" s="19"/>
      <c r="N37" s="19"/>
    </row>
    <row r="38" spans="1:14" ht="12.75" customHeight="1" x14ac:dyDescent="0.2">
      <c r="A38" s="304" t="s">
        <v>117</v>
      </c>
      <c r="B38" s="287">
        <f>Data!CK1</f>
        <v>24912</v>
      </c>
      <c r="C38" s="287">
        <f>Data!CK6</f>
        <v>44311</v>
      </c>
      <c r="D38" s="287">
        <f>Data!CK11</f>
        <v>51961</v>
      </c>
      <c r="E38" s="286">
        <f t="shared" ref="E38:E40" si="2">IFERROR(IF(OR(AND(D38="",C38=""),AND(D38=0,C38=0)),"",
IF(OR(D38="",D38=0),1,
IF(OR(D38&lt;&gt;"",D38&lt;&gt;0),(C38-D38)/ABS(D38)))),-1)</f>
        <v>-0.14722580396836088</v>
      </c>
      <c r="F38" s="367">
        <v>302385</v>
      </c>
      <c r="G38" s="367">
        <v>291730</v>
      </c>
      <c r="H38" s="367">
        <v>283127</v>
      </c>
      <c r="I38" s="367">
        <v>290607</v>
      </c>
      <c r="J38" s="29"/>
      <c r="K38" s="171"/>
      <c r="M38" s="19"/>
      <c r="N38" s="19"/>
    </row>
    <row r="39" spans="1:14" ht="12.75" customHeight="1" x14ac:dyDescent="0.2">
      <c r="A39" s="304" t="s">
        <v>151</v>
      </c>
      <c r="B39" s="287">
        <f>Data!CK2/1000000</f>
        <v>857224.30995000002</v>
      </c>
      <c r="C39" s="287">
        <f>Data!CK7/1000000</f>
        <v>1472731.1240650001</v>
      </c>
      <c r="D39" s="287">
        <f>Data!CK12/1000000</f>
        <v>1894452.834234</v>
      </c>
      <c r="E39" s="286">
        <f t="shared" si="2"/>
        <v>-0.22260871453129533</v>
      </c>
      <c r="F39" s="367">
        <v>9185860</v>
      </c>
      <c r="G39" s="367">
        <v>7876304</v>
      </c>
      <c r="H39" s="367">
        <v>7321629</v>
      </c>
      <c r="I39" s="367">
        <v>6653964</v>
      </c>
      <c r="J39" s="27"/>
      <c r="K39" s="171"/>
    </row>
    <row r="40" spans="1:14" ht="12.75" customHeight="1" x14ac:dyDescent="0.2">
      <c r="A40" s="304" t="s">
        <v>152</v>
      </c>
      <c r="B40" s="287">
        <f>Data!CK3/1000000</f>
        <v>864106.52906805114</v>
      </c>
      <c r="C40" s="287">
        <f>Data!CK8/1000000</f>
        <v>1486908.1147877628</v>
      </c>
      <c r="D40" s="287">
        <f>Data!CK13/1000000</f>
        <v>1958987.6541292914</v>
      </c>
      <c r="E40" s="286">
        <f t="shared" si="2"/>
        <v>-0.24098137542952164</v>
      </c>
      <c r="F40" s="367">
        <v>9451509</v>
      </c>
      <c r="G40" s="367">
        <v>8198143</v>
      </c>
      <c r="H40" s="367">
        <v>7580050</v>
      </c>
      <c r="I40" s="367">
        <v>7166248</v>
      </c>
      <c r="J40" s="29"/>
      <c r="L40" s="176"/>
    </row>
    <row r="41" spans="1:14" ht="12.75" customHeight="1" x14ac:dyDescent="0.2">
      <c r="A41" s="304"/>
      <c r="B41" s="249"/>
      <c r="C41" s="305"/>
      <c r="D41" s="305"/>
      <c r="E41" s="184"/>
      <c r="F41" s="367"/>
      <c r="G41" s="367"/>
      <c r="H41" s="367"/>
      <c r="I41" s="305"/>
      <c r="M41" s="19"/>
      <c r="N41" s="19"/>
    </row>
    <row r="42" spans="1:14" s="107" customFormat="1" ht="12.75" customHeight="1" x14ac:dyDescent="0.25">
      <c r="A42" s="302" t="s">
        <v>153</v>
      </c>
      <c r="B42" s="287"/>
      <c r="C42" s="287"/>
      <c r="D42" s="287"/>
      <c r="E42" s="184"/>
      <c r="F42" s="367"/>
      <c r="G42" s="367"/>
      <c r="H42" s="306"/>
      <c r="I42" s="306"/>
      <c r="K42" s="172"/>
      <c r="L42" s="172"/>
      <c r="M42" s="16"/>
      <c r="N42" s="16"/>
    </row>
    <row r="43" spans="1:14" ht="12.75" customHeight="1" x14ac:dyDescent="0.2">
      <c r="A43" s="304" t="s">
        <v>117</v>
      </c>
      <c r="B43" s="287">
        <f>Data!CN1</f>
        <v>15093</v>
      </c>
      <c r="C43" s="287">
        <f>Data!CN6</f>
        <v>29525</v>
      </c>
      <c r="D43" s="287">
        <f>Data!CN11</f>
        <v>27989</v>
      </c>
      <c r="E43" s="286">
        <f t="shared" ref="E43:E45" si="3">IFERROR(IF(OR(AND(D43="",C43=""),AND(D43=0,C43=0)),"",
IF(OR(D43="",D43=0),1,
IF(OR(D43&lt;&gt;"",D43&lt;&gt;0),(C43-D43)/ABS(D43)))),-1)</f>
        <v>5.4878702347350747E-2</v>
      </c>
      <c r="F43" s="367">
        <v>161055</v>
      </c>
      <c r="G43" s="367">
        <v>153015</v>
      </c>
      <c r="H43" s="367">
        <v>170507</v>
      </c>
      <c r="I43" s="367">
        <v>157998</v>
      </c>
      <c r="J43" s="27"/>
      <c r="L43" s="172"/>
      <c r="M43" s="19"/>
      <c r="N43" s="19"/>
    </row>
    <row r="44" spans="1:14" ht="12.75" customHeight="1" x14ac:dyDescent="0.2">
      <c r="A44" s="304" t="s">
        <v>154</v>
      </c>
      <c r="B44" s="287">
        <f>Data!CN2/1000000</f>
        <v>2066359.2558019999</v>
      </c>
      <c r="C44" s="287">
        <f>Data!CN7/1000000</f>
        <v>4030662.861451</v>
      </c>
      <c r="D44" s="287">
        <f>Data!CN12/1000000</f>
        <v>3288042.5880729998</v>
      </c>
      <c r="E44" s="286">
        <f t="shared" si="3"/>
        <v>0.22585482197577691</v>
      </c>
      <c r="F44" s="367">
        <v>20951365</v>
      </c>
      <c r="G44" s="367">
        <v>19085335</v>
      </c>
      <c r="H44" s="367">
        <v>19586029</v>
      </c>
      <c r="I44" s="367">
        <v>15650220</v>
      </c>
      <c r="J44" s="29"/>
      <c r="L44" s="172"/>
    </row>
    <row r="45" spans="1:14" ht="12.75" customHeight="1" x14ac:dyDescent="0.2">
      <c r="A45" s="304" t="s">
        <v>152</v>
      </c>
      <c r="B45" s="287">
        <f>Data!CN3/1000000</f>
        <v>1973093.0820195398</v>
      </c>
      <c r="C45" s="287">
        <f>Data!CN8/1000000</f>
        <v>3855053.2375623807</v>
      </c>
      <c r="D45" s="287">
        <f>Data!CN13/1000000</f>
        <v>3319501.0214490881</v>
      </c>
      <c r="E45" s="286">
        <f t="shared" si="3"/>
        <v>0.16133515629391304</v>
      </c>
      <c r="F45" s="367">
        <v>20334924</v>
      </c>
      <c r="G45" s="367">
        <v>18571364</v>
      </c>
      <c r="H45" s="367">
        <v>19133372</v>
      </c>
      <c r="I45" s="367">
        <v>16112281</v>
      </c>
      <c r="J45" s="29"/>
      <c r="L45" s="172"/>
    </row>
    <row r="46" spans="1:14" ht="12.75" customHeight="1" x14ac:dyDescent="0.2">
      <c r="A46" s="304"/>
      <c r="B46" s="249"/>
      <c r="C46" s="305"/>
      <c r="D46" s="305"/>
      <c r="E46" s="184"/>
      <c r="F46" s="367"/>
      <c r="G46" s="367"/>
      <c r="H46" s="367"/>
      <c r="I46" s="367"/>
      <c r="L46" s="172"/>
    </row>
    <row r="47" spans="1:14" ht="12.75" customHeight="1" x14ac:dyDescent="0.25">
      <c r="A47" s="307" t="s">
        <v>160</v>
      </c>
      <c r="B47" s="249"/>
      <c r="C47" s="305"/>
      <c r="D47" s="305"/>
      <c r="E47" s="184"/>
      <c r="F47" s="367"/>
      <c r="G47" s="367"/>
      <c r="H47" s="367"/>
      <c r="I47" s="367"/>
      <c r="J47" s="27"/>
      <c r="L47" s="172"/>
    </row>
    <row r="48" spans="1:14" s="107" customFormat="1" ht="12.75" customHeight="1" x14ac:dyDescent="0.2">
      <c r="A48" s="304" t="s">
        <v>117</v>
      </c>
      <c r="B48" s="127">
        <f>Data!CQ1</f>
        <v>874</v>
      </c>
      <c r="C48" s="127">
        <f>Data!CQ6</f>
        <v>1603</v>
      </c>
      <c r="D48" s="249">
        <f>Data!CQ11</f>
        <v>1525</v>
      </c>
      <c r="E48" s="286">
        <f t="shared" ref="E48:E50" si="4">IFERROR(IF(OR(AND(D48="",C48=""),AND(D48=0,C48=0)),"",
IF(OR(D48="",D48=0),1,
IF(OR(D48&lt;&gt;"",D48&lt;&gt;0),(C48-D48)/ABS(D48)))),-1)</f>
        <v>5.1147540983606556E-2</v>
      </c>
      <c r="F48" s="367">
        <v>8603</v>
      </c>
      <c r="G48" s="367">
        <v>8729</v>
      </c>
      <c r="H48" s="367">
        <v>7665</v>
      </c>
      <c r="I48" s="367">
        <v>5572</v>
      </c>
      <c r="J48" s="27"/>
      <c r="K48" s="172"/>
      <c r="L48" s="176"/>
    </row>
    <row r="49" spans="1:12" s="107" customFormat="1" ht="12.75" customHeight="1" x14ac:dyDescent="0.2">
      <c r="A49" s="304" t="s">
        <v>154</v>
      </c>
      <c r="B49" s="127">
        <f>Data!CQ2/1000000</f>
        <v>59076.084878000001</v>
      </c>
      <c r="C49" s="127">
        <f>Data!CQ7/1000000</f>
        <v>108910.940418</v>
      </c>
      <c r="D49" s="249">
        <f>Data!CQ12/1000000</f>
        <v>120260.702187</v>
      </c>
      <c r="E49" s="286">
        <f t="shared" si="4"/>
        <v>-9.4376313813232471E-2</v>
      </c>
      <c r="F49" s="367">
        <v>658610</v>
      </c>
      <c r="G49" s="367">
        <v>737277</v>
      </c>
      <c r="H49" s="367">
        <v>747909</v>
      </c>
      <c r="I49" s="367">
        <v>434632</v>
      </c>
      <c r="J49" s="32"/>
      <c r="K49" s="172"/>
      <c r="L49" s="176"/>
    </row>
    <row r="50" spans="1:12" s="107" customFormat="1" ht="12.75" customHeight="1" thickBot="1" x14ac:dyDescent="0.25">
      <c r="A50" s="308" t="s">
        <v>152</v>
      </c>
      <c r="B50" s="128">
        <f>Data!CQ3/1000000</f>
        <v>23884.527566509998</v>
      </c>
      <c r="C50" s="128">
        <f>Data!CQ8/1000000</f>
        <v>42802.016644919997</v>
      </c>
      <c r="D50" s="290">
        <f>Data!CQ13/1000000</f>
        <v>37073.730078400011</v>
      </c>
      <c r="E50" s="291">
        <f t="shared" si="4"/>
        <v>0.1545106617113074</v>
      </c>
      <c r="F50" s="368">
        <v>206820</v>
      </c>
      <c r="G50" s="368">
        <v>305414</v>
      </c>
      <c r="H50" s="368">
        <v>370548</v>
      </c>
      <c r="I50" s="368">
        <v>240709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299"/>
      <c r="B54" s="280" t="s">
        <v>1</v>
      </c>
      <c r="C54" s="280" t="s">
        <v>179</v>
      </c>
      <c r="D54" s="280" t="s">
        <v>179</v>
      </c>
      <c r="E54" s="300" t="s">
        <v>8</v>
      </c>
      <c r="F54" s="309"/>
      <c r="G54" s="292"/>
      <c r="H54" s="299"/>
      <c r="I54" s="299"/>
      <c r="J54" s="30"/>
    </row>
    <row r="55" spans="1:12" ht="12.75" customHeight="1" x14ac:dyDescent="0.25">
      <c r="A55" s="299"/>
      <c r="B55" s="280" t="s">
        <v>3</v>
      </c>
      <c r="C55" s="280" t="s">
        <v>4</v>
      </c>
      <c r="D55" s="280" t="s">
        <v>4</v>
      </c>
      <c r="E55" s="300" t="s">
        <v>9</v>
      </c>
      <c r="F55" s="309"/>
      <c r="G55" s="292"/>
      <c r="H55" s="299"/>
      <c r="I55" s="299"/>
      <c r="J55" s="30"/>
    </row>
    <row r="56" spans="1:12" ht="12.75" customHeight="1" thickBot="1" x14ac:dyDescent="0.3">
      <c r="A56" s="301"/>
      <c r="B56" s="282" t="str">
        <f>TEXT($H$3,"MMM")&amp;" "&amp;TEXT($H$3,"YYYY")</f>
        <v>Feb 2019</v>
      </c>
      <c r="C56" s="282" t="str">
        <f>$C$15</f>
        <v>2019</v>
      </c>
      <c r="D56" s="282">
        <f>$D$15</f>
        <v>2018</v>
      </c>
      <c r="E56" s="284" t="s">
        <v>6</v>
      </c>
      <c r="F56" s="284">
        <f>$F$15</f>
        <v>2018</v>
      </c>
      <c r="G56" s="294">
        <f>$G$15</f>
        <v>2017</v>
      </c>
      <c r="H56" s="294">
        <f>$H$15</f>
        <v>2016</v>
      </c>
      <c r="I56" s="294">
        <f>$I$15</f>
        <v>2015</v>
      </c>
      <c r="J56" s="107"/>
      <c r="L56" s="176"/>
    </row>
    <row r="57" spans="1:12" ht="12.75" customHeight="1" x14ac:dyDescent="0.2">
      <c r="A57" s="304" t="s">
        <v>157</v>
      </c>
      <c r="B57" s="287">
        <f>(SUMIFS(Data!$CZ$14:$CZ$25,Data!$CU$14:$CU$25,"Standard Trade")+SUMIFS(Data!$CZ$14:$CZ$25,Data!$CU$14:$CU$25,"Standard Trade (Spot)"))/1000000</f>
        <v>105589.26235600001</v>
      </c>
      <c r="C57" s="287">
        <f>(SUMIFS(Data!$CZ$1:$CZ$12,Data!$CU$1:$CU$12,"Standard Trade")+SUMIFS(Data!$CZ$1:$CZ$12,Data!$CU$1:$CU$12,"Standard Trade (Spot)"))/1000000</f>
        <v>194160.04912499999</v>
      </c>
      <c r="D57" s="287">
        <f>(SUMIFS(Data!$CZ$27:$CZ$38,Data!$CU$27:$CU$38,"Standard Trade")+SUMIFS(Data!$CZ$27:$CZ$38,Data!$CU$27:$CU$38,"Standard Trade (Spot)"))/1000000</f>
        <v>234838.836503</v>
      </c>
      <c r="E57" s="195">
        <f>C57-D57</f>
        <v>-40678.787378000008</v>
      </c>
      <c r="F57" s="367">
        <v>1118355</v>
      </c>
      <c r="G57" s="367">
        <v>1072127</v>
      </c>
      <c r="H57" s="305">
        <v>954436</v>
      </c>
      <c r="I57" s="305">
        <v>821507</v>
      </c>
      <c r="J57" s="27"/>
      <c r="L57" s="176"/>
    </row>
    <row r="58" spans="1:12" ht="12.75" customHeight="1" x14ac:dyDescent="0.2">
      <c r="A58" s="304" t="s">
        <v>158</v>
      </c>
      <c r="B58" s="287">
        <f>(SUMIFS(Data!$DC$14:$DC$25,Data!$CU$14:$CU$25,"Standard Trade")+SUMIFS(Data!$DC$14:$DC$25,Data!$CU$14:$CU$25,"Standard Trade (Spot)"))/1000000</f>
        <v>101450.559041</v>
      </c>
      <c r="C58" s="287">
        <f>(SUMIFS(Data!$DC$1:$DC$12,Data!$CU$1:$CU$12,"Standard Trade")+SUMIFS(Data!$DC$1:$DC$12,Data!$CU$1:$CU$12,"Standard Trade (Spot)"))/1000000</f>
        <v>178175.365066</v>
      </c>
      <c r="D58" s="287">
        <f>(SUMIFS(Data!$DC$27:$DC$38,Data!$CU$27:$CU$38,"Standard Trade")+SUMIFS(Data!$DC$27:$DC$38,Data!$CU$27:$CU$38,"Standard Trade (Spot)"))/1000000</f>
        <v>228080.423526</v>
      </c>
      <c r="E58" s="195">
        <f>C58-D58</f>
        <v>-49905.05846</v>
      </c>
      <c r="F58" s="367">
        <v>1183484</v>
      </c>
      <c r="G58" s="367">
        <v>1016544</v>
      </c>
      <c r="H58" s="305">
        <v>922129</v>
      </c>
      <c r="I58" s="305">
        <v>820729</v>
      </c>
      <c r="J58" s="27"/>
      <c r="L58" s="176"/>
    </row>
    <row r="59" spans="1:12" ht="12.75" customHeight="1" thickBot="1" x14ac:dyDescent="0.3">
      <c r="A59" s="310" t="s">
        <v>12</v>
      </c>
      <c r="B59" s="297">
        <f>B57-B58</f>
        <v>4138.7033150000061</v>
      </c>
      <c r="C59" s="297">
        <f t="shared" ref="C59" si="5">C57-C58</f>
        <v>15984.684058999992</v>
      </c>
      <c r="D59" s="297">
        <f>D57-D58</f>
        <v>6758.412977</v>
      </c>
      <c r="E59" s="297">
        <f>E57-E58</f>
        <v>9226.271081999992</v>
      </c>
      <c r="F59" s="369">
        <v>-65129</v>
      </c>
      <c r="G59" s="369">
        <v>55583</v>
      </c>
      <c r="H59" s="369">
        <v>32307</v>
      </c>
      <c r="I59" s="369">
        <v>778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299"/>
      <c r="B63" s="280" t="s">
        <v>1</v>
      </c>
      <c r="C63" s="280" t="s">
        <v>179</v>
      </c>
      <c r="D63" s="280" t="s">
        <v>179</v>
      </c>
      <c r="E63" s="300" t="s">
        <v>13</v>
      </c>
      <c r="F63" s="309"/>
      <c r="G63" s="292"/>
      <c r="H63" s="299"/>
      <c r="I63" s="299"/>
    </row>
    <row r="64" spans="1:12" ht="15" x14ac:dyDescent="0.25">
      <c r="A64" s="299"/>
      <c r="B64" s="280" t="s">
        <v>3</v>
      </c>
      <c r="C64" s="280" t="s">
        <v>4</v>
      </c>
      <c r="D64" s="280" t="s">
        <v>4</v>
      </c>
      <c r="E64" s="300" t="s">
        <v>9</v>
      </c>
      <c r="F64" s="309"/>
      <c r="G64" s="292"/>
      <c r="H64" s="299"/>
      <c r="I64" s="299"/>
    </row>
    <row r="65" spans="1:12" ht="15.75" thickBot="1" x14ac:dyDescent="0.3">
      <c r="A65" s="301"/>
      <c r="B65" s="282" t="str">
        <f>TEXT($H$3,"MMM")&amp;" "&amp;TEXT($H$3,"YYYY")</f>
        <v>Feb 2019</v>
      </c>
      <c r="C65" s="282" t="str">
        <f>$C$15</f>
        <v>2019</v>
      </c>
      <c r="D65" s="282">
        <f>$D$15</f>
        <v>2018</v>
      </c>
      <c r="E65" s="284" t="s">
        <v>6</v>
      </c>
      <c r="F65" s="284">
        <f>$F$15</f>
        <v>2018</v>
      </c>
      <c r="G65" s="294">
        <f>$G$15</f>
        <v>2017</v>
      </c>
      <c r="H65" s="294">
        <f>$H$15</f>
        <v>2016</v>
      </c>
      <c r="I65" s="294">
        <f>$I$15</f>
        <v>2015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244896</v>
      </c>
      <c r="C67" s="249">
        <f>Data!BR2</f>
        <v>515564</v>
      </c>
      <c r="D67" s="249">
        <f>Data!BR8</f>
        <v>549529</v>
      </c>
      <c r="E67" s="286">
        <f>IFERROR(IF(OR(AND(D67="",C67=""),AND(D67=0,C67=0)),"",
IF(OR(D67="",D67=0),1,
IF(OR(D67&lt;&gt;"",D67&lt;&gt;0),(C67-D67)/ABS(D67)))),-1)</f>
        <v>-6.1807475128701127E-2</v>
      </c>
      <c r="F67" s="367">
        <v>3608867</v>
      </c>
      <c r="G67" s="367">
        <v>3180985</v>
      </c>
      <c r="H67" s="367">
        <v>3591024</v>
      </c>
      <c r="I67" s="312">
        <v>3526147</v>
      </c>
      <c r="J67" s="158"/>
    </row>
    <row r="68" spans="1:12" ht="14.25" x14ac:dyDescent="0.2">
      <c r="A68" s="248" t="s">
        <v>142</v>
      </c>
      <c r="B68" s="127">
        <f>C379/1000</f>
        <v>3389.87</v>
      </c>
      <c r="C68" s="249">
        <f>Data!BQ2/1000</f>
        <v>6077.0959999999995</v>
      </c>
      <c r="D68" s="249">
        <f>Data!BQ8/1000</f>
        <v>11065.605</v>
      </c>
      <c r="E68" s="286">
        <f t="shared" ref="E68:E70" si="6">IFERROR(IF(OR(AND(D68="",C68=""),AND(D68=0,C68=0)),"",
IF(OR(D68="",D68=0),1,
IF(OR(D68&lt;&gt;"",D68&lt;&gt;0),(C68-D68)/ABS(D68)))),-1)</f>
        <v>-0.45081213363390438</v>
      </c>
      <c r="F68" s="367">
        <v>99815</v>
      </c>
      <c r="G68" s="367">
        <v>293559</v>
      </c>
      <c r="H68" s="367">
        <v>412077</v>
      </c>
      <c r="I68" s="367">
        <v>432277</v>
      </c>
      <c r="J68" s="158"/>
    </row>
    <row r="69" spans="1:12" ht="14.25" x14ac:dyDescent="0.2">
      <c r="A69" s="248" t="s">
        <v>143</v>
      </c>
      <c r="B69" s="127">
        <f>C397/1000000</f>
        <v>283.74745811806162</v>
      </c>
      <c r="C69" s="249">
        <f>Data!BP2/1000000000</f>
        <v>573.4576412304375</v>
      </c>
      <c r="D69" s="249">
        <f>Data!BP8/1000000000</f>
        <v>717.57530781508137</v>
      </c>
      <c r="E69" s="286">
        <f t="shared" si="6"/>
        <v>-0.20083977948385995</v>
      </c>
      <c r="F69" s="367">
        <v>5957</v>
      </c>
      <c r="G69" s="367">
        <v>6132</v>
      </c>
      <c r="H69" s="367">
        <v>6894</v>
      </c>
      <c r="I69" s="367">
        <v>6619</v>
      </c>
      <c r="J69" s="158"/>
    </row>
    <row r="70" spans="1:12" ht="14.25" x14ac:dyDescent="0.2">
      <c r="A70" s="248" t="s">
        <v>144</v>
      </c>
      <c r="B70" s="127">
        <f>SUM(C408:C414)</f>
        <v>7012928</v>
      </c>
      <c r="C70" s="249">
        <f>B70</f>
        <v>7012928</v>
      </c>
      <c r="D70" s="249">
        <f>Data!BP14</f>
        <v>16258381</v>
      </c>
      <c r="E70" s="286">
        <f t="shared" si="6"/>
        <v>-0.56865766646752836</v>
      </c>
      <c r="F70" s="367">
        <v>7952641</v>
      </c>
      <c r="G70" s="367">
        <v>19047404</v>
      </c>
      <c r="H70" s="367">
        <v>40320362</v>
      </c>
      <c r="I70" s="367">
        <v>60646619</v>
      </c>
      <c r="J70" s="158"/>
    </row>
    <row r="71" spans="1:12" ht="14.25" x14ac:dyDescent="0.2">
      <c r="A71" s="248"/>
      <c r="B71" s="249"/>
      <c r="C71" s="249"/>
      <c r="D71" s="249"/>
      <c r="E71" s="248"/>
      <c r="F71" s="367"/>
      <c r="G71" s="367"/>
      <c r="H71" s="367"/>
      <c r="I71" s="367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3"/>
      <c r="G72" s="367"/>
      <c r="H72" s="367"/>
      <c r="I72" s="367"/>
      <c r="J72" s="160"/>
    </row>
    <row r="73" spans="1:12" ht="14.25" x14ac:dyDescent="0.2">
      <c r="A73" s="248" t="s">
        <v>117</v>
      </c>
      <c r="B73" s="249">
        <f>C368</f>
        <v>1146</v>
      </c>
      <c r="C73" s="249">
        <f>Data!BR5</f>
        <v>2449</v>
      </c>
      <c r="D73" s="249">
        <f>Data!BR11</f>
        <v>1875</v>
      </c>
      <c r="E73" s="286">
        <f t="shared" ref="E73:E76" si="7">IFERROR(IF(OR(AND(D73="",C73=""),AND(D73=0,C73=0)),"",
IF(OR(D73="",D73=0),1,
IF(OR(D73&lt;&gt;"",D73&lt;&gt;0),(C73-D73)/ABS(D73)))),-1)</f>
        <v>0.30613333333333331</v>
      </c>
      <c r="F73" s="367">
        <v>11785</v>
      </c>
      <c r="G73" s="367">
        <v>23654</v>
      </c>
      <c r="H73" s="367">
        <v>22261</v>
      </c>
      <c r="I73" s="367">
        <v>19921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1179.7439999999999</v>
      </c>
      <c r="C74" s="249">
        <f>Data!BQ5/1000</f>
        <v>2174.3530000000001</v>
      </c>
      <c r="D74" s="249">
        <f>Data!BQ11/1000</f>
        <v>3826.6930000000002</v>
      </c>
      <c r="E74" s="286">
        <f t="shared" si="7"/>
        <v>-0.43179319584821674</v>
      </c>
      <c r="F74" s="367">
        <v>13366</v>
      </c>
      <c r="G74" s="367">
        <v>18006</v>
      </c>
      <c r="H74" s="367">
        <v>15373</v>
      </c>
      <c r="I74" s="367">
        <v>15764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2.7259168661499995</v>
      </c>
      <c r="C75" s="249">
        <f>Data!BP5/1000000000</f>
        <v>6.8012382696199998</v>
      </c>
      <c r="D75" s="249">
        <f>Data!BP11/1000000000</f>
        <v>4.8959717336400006</v>
      </c>
      <c r="E75" s="286">
        <f t="shared" si="7"/>
        <v>0.38914982349448607</v>
      </c>
      <c r="F75" s="367">
        <v>40</v>
      </c>
      <c r="G75" s="367">
        <v>41</v>
      </c>
      <c r="H75" s="367">
        <v>47</v>
      </c>
      <c r="I75" s="367">
        <v>28</v>
      </c>
      <c r="J75" s="158"/>
      <c r="K75" s="177"/>
    </row>
    <row r="76" spans="1:12" ht="14.25" x14ac:dyDescent="0.2">
      <c r="A76" s="248" t="s">
        <v>144</v>
      </c>
      <c r="B76" s="249">
        <f>SUM(C417:C420)</f>
        <v>3244053</v>
      </c>
      <c r="C76" s="249">
        <f>B76</f>
        <v>3244053</v>
      </c>
      <c r="D76" s="249">
        <f>Data!BP17</f>
        <v>3047691</v>
      </c>
      <c r="E76" s="286">
        <f t="shared" si="7"/>
        <v>6.442976010363255E-2</v>
      </c>
      <c r="F76" s="367">
        <v>2075303</v>
      </c>
      <c r="G76" s="367">
        <v>2296842</v>
      </c>
      <c r="H76" s="367">
        <v>2300487</v>
      </c>
      <c r="I76" s="367">
        <v>1541161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Feb 2019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5" t="s">
        <v>199</v>
      </c>
      <c r="G95" s="375"/>
      <c r="H95" s="375"/>
      <c r="I95" s="230"/>
    </row>
    <row r="96" spans="1:9" x14ac:dyDescent="0.2">
      <c r="A96" s="247"/>
      <c r="B96" s="159"/>
      <c r="C96" s="247"/>
      <c r="D96" s="247"/>
      <c r="E96" s="247"/>
      <c r="F96" s="375"/>
      <c r="G96" s="375"/>
      <c r="H96" s="375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299"/>
      <c r="B99" s="280" t="s">
        <v>1</v>
      </c>
      <c r="C99" s="280" t="s">
        <v>179</v>
      </c>
      <c r="D99" s="280" t="s">
        <v>179</v>
      </c>
      <c r="E99" s="300" t="s">
        <v>13</v>
      </c>
      <c r="F99" s="309"/>
      <c r="G99" s="292"/>
      <c r="H99" s="299"/>
      <c r="I99" s="299"/>
    </row>
    <row r="100" spans="1:9" ht="15" x14ac:dyDescent="0.25">
      <c r="A100" s="299"/>
      <c r="B100" s="280" t="s">
        <v>3</v>
      </c>
      <c r="C100" s="280" t="s">
        <v>4</v>
      </c>
      <c r="D100" s="280" t="s">
        <v>4</v>
      </c>
      <c r="E100" s="300" t="s">
        <v>9</v>
      </c>
      <c r="F100" s="309"/>
      <c r="G100" s="292"/>
      <c r="H100" s="299"/>
      <c r="I100" s="299"/>
    </row>
    <row r="101" spans="1:9" ht="15.75" thickBot="1" x14ac:dyDescent="0.3">
      <c r="A101" s="301"/>
      <c r="B101" s="282" t="str">
        <f>TEXT($H$3,"MMM")&amp;" "&amp;TEXT($H$3,"YYYY")</f>
        <v>Feb 2019</v>
      </c>
      <c r="C101" s="282" t="str">
        <f>TEXT($H$3,"YYYY")</f>
        <v>2019</v>
      </c>
      <c r="D101" s="283">
        <f>TEXT($H$3,"YYYY")-1</f>
        <v>2018</v>
      </c>
      <c r="E101" s="284" t="s">
        <v>6</v>
      </c>
      <c r="F101" s="284">
        <f>$F$15</f>
        <v>2018</v>
      </c>
      <c r="G101" s="294">
        <f>$G$15</f>
        <v>2017</v>
      </c>
      <c r="H101" s="294">
        <f>$H$15</f>
        <v>2016</v>
      </c>
      <c r="I101" s="294">
        <f>$I$15</f>
        <v>2015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864</v>
      </c>
      <c r="C103" s="249">
        <f>Data!BR32</f>
        <v>2525</v>
      </c>
      <c r="D103" s="249">
        <f>Data!BR38</f>
        <v>2618</v>
      </c>
      <c r="E103" s="286">
        <f t="shared" ref="E103:E106" si="8">IFERROR(IF(OR(AND(D103="",C103=""),AND(D103=0,C103=0)),"",
IF(OR(D103="",D103=0),1,
IF(OR(D103&lt;&gt;"",D103&lt;&gt;0),(C103-D103)/ABS(D103)))),-1)</f>
        <v>-3.5523300229182583E-2</v>
      </c>
      <c r="F103" s="364">
        <v>12477</v>
      </c>
      <c r="G103" s="364">
        <v>12791</v>
      </c>
      <c r="H103" s="364">
        <v>14410</v>
      </c>
      <c r="I103" s="364">
        <v>9505</v>
      </c>
    </row>
    <row r="104" spans="1:9" ht="14.25" x14ac:dyDescent="0.2">
      <c r="A104" s="248" t="s">
        <v>146</v>
      </c>
      <c r="B104" s="127">
        <f>Data!BQ20</f>
        <v>655542</v>
      </c>
      <c r="C104" s="249">
        <f>Data!BQ32</f>
        <v>2531223</v>
      </c>
      <c r="D104" s="249">
        <f>Data!BQ38</f>
        <v>3176326</v>
      </c>
      <c r="E104" s="286">
        <f t="shared" si="8"/>
        <v>-0.2030972261663318</v>
      </c>
      <c r="F104" s="364">
        <v>11788350</v>
      </c>
      <c r="G104" s="364">
        <v>11946344</v>
      </c>
      <c r="H104" s="364">
        <v>9230179</v>
      </c>
      <c r="I104" s="364">
        <v>5344460</v>
      </c>
    </row>
    <row r="105" spans="1:9" ht="14.25" x14ac:dyDescent="0.2">
      <c r="A105" s="248" t="s">
        <v>119</v>
      </c>
      <c r="B105" s="127">
        <f>Data!BP20/1000000</f>
        <v>69902.820364419997</v>
      </c>
      <c r="C105" s="249">
        <f>Data!BP32/1000000</f>
        <v>269728.09052496997</v>
      </c>
      <c r="D105" s="249">
        <f>Data!BP38/1000000</f>
        <v>349590.29858216998</v>
      </c>
      <c r="E105" s="286">
        <f t="shared" si="8"/>
        <v>-0.22844514959681778</v>
      </c>
      <c r="F105" s="364">
        <v>1282927</v>
      </c>
      <c r="G105" s="364">
        <v>1329270</v>
      </c>
      <c r="H105" s="364">
        <v>1073119</v>
      </c>
      <c r="I105" s="364">
        <v>698663</v>
      </c>
    </row>
    <row r="106" spans="1:9" ht="14.25" x14ac:dyDescent="0.2">
      <c r="A106" s="248" t="s">
        <v>144</v>
      </c>
      <c r="B106" s="127">
        <f>Data!BP26</f>
        <v>786986</v>
      </c>
      <c r="C106" s="249">
        <f>B106</f>
        <v>786986</v>
      </c>
      <c r="D106" s="249">
        <f>Data!BP44</f>
        <v>1077620</v>
      </c>
      <c r="E106" s="286">
        <f t="shared" si="8"/>
        <v>-0.26969989421131751</v>
      </c>
      <c r="F106" s="364">
        <v>829599</v>
      </c>
      <c r="G106" s="364">
        <v>1021723</v>
      </c>
      <c r="H106" s="364">
        <v>802030</v>
      </c>
      <c r="I106" s="364">
        <v>621382</v>
      </c>
    </row>
    <row r="107" spans="1:9" ht="14.25" x14ac:dyDescent="0.2">
      <c r="A107" s="248"/>
      <c r="B107" s="127"/>
      <c r="C107" s="249"/>
      <c r="D107" s="249"/>
      <c r="E107" s="248"/>
      <c r="F107" s="364"/>
      <c r="G107" s="364"/>
      <c r="H107" s="364"/>
      <c r="I107" s="364"/>
    </row>
    <row r="108" spans="1:9" ht="15" x14ac:dyDescent="0.25">
      <c r="A108" s="288" t="s">
        <v>15</v>
      </c>
      <c r="B108" s="127"/>
      <c r="C108" s="249"/>
      <c r="D108" s="249"/>
      <c r="E108" s="248"/>
      <c r="F108" s="364"/>
      <c r="G108" s="364"/>
      <c r="H108" s="364"/>
      <c r="I108" s="364"/>
    </row>
    <row r="109" spans="1:9" ht="14.25" x14ac:dyDescent="0.2">
      <c r="A109" s="248" t="s">
        <v>117</v>
      </c>
      <c r="B109" s="127">
        <f>Data!BR23</f>
        <v>131</v>
      </c>
      <c r="C109" s="127">
        <f>Data!BR35</f>
        <v>162</v>
      </c>
      <c r="D109" s="127">
        <f>Data!BR41</f>
        <v>205</v>
      </c>
      <c r="E109" s="286">
        <f t="shared" ref="E109:E112" si="9">IFERROR(IF(OR(AND(D109="",C109=""),AND(D109=0,C109=0)),"",
IF(OR(D109="",D109=0),1,
IF(OR(D109&lt;&gt;"",D109&lt;&gt;0),(C109-D109)/ABS(D109)))),-1)</f>
        <v>-0.2097560975609756</v>
      </c>
      <c r="F109" s="127">
        <v>949</v>
      </c>
      <c r="G109" s="127">
        <v>809</v>
      </c>
      <c r="H109" s="127">
        <v>825</v>
      </c>
      <c r="I109" s="127">
        <v>1013</v>
      </c>
    </row>
    <row r="110" spans="1:9" ht="14.25" x14ac:dyDescent="0.2">
      <c r="A110" s="248" t="s">
        <v>146</v>
      </c>
      <c r="B110" s="127">
        <f>Data!BQ23</f>
        <v>59033</v>
      </c>
      <c r="C110" s="127">
        <f>Data!BQ35</f>
        <v>78143</v>
      </c>
      <c r="D110" s="127">
        <f>Data!BQ41</f>
        <v>115382</v>
      </c>
      <c r="E110" s="286">
        <f t="shared" si="9"/>
        <v>-0.32274531556048602</v>
      </c>
      <c r="F110" s="127">
        <v>428713</v>
      </c>
      <c r="G110" s="127">
        <v>307322</v>
      </c>
      <c r="H110" s="127">
        <v>205539</v>
      </c>
      <c r="I110" s="127">
        <v>348297</v>
      </c>
    </row>
    <row r="111" spans="1:9" ht="14.25" x14ac:dyDescent="0.2">
      <c r="A111" s="248" t="s">
        <v>196</v>
      </c>
      <c r="B111" s="127">
        <f>Data!BP23/1000000</f>
        <v>5047.53520028</v>
      </c>
      <c r="C111" s="127">
        <f>Data!BP35/1000000</f>
        <v>7167.4235011800001</v>
      </c>
      <c r="D111" s="127">
        <f>Data!BP41/1000000</f>
        <v>12174.956584950001</v>
      </c>
      <c r="E111" s="286">
        <f t="shared" si="9"/>
        <v>-0.41129781850393066</v>
      </c>
      <c r="F111" s="127">
        <v>42643</v>
      </c>
      <c r="G111" s="127">
        <v>29060</v>
      </c>
      <c r="H111" s="127">
        <v>21987</v>
      </c>
      <c r="I111" s="127">
        <v>37202</v>
      </c>
    </row>
    <row r="112" spans="1:9" ht="15" thickBot="1" x14ac:dyDescent="0.25">
      <c r="A112" s="289" t="s">
        <v>144</v>
      </c>
      <c r="B112" s="128">
        <f>Data!BP29</f>
        <v>124290</v>
      </c>
      <c r="C112" s="128">
        <f>B112</f>
        <v>124290</v>
      </c>
      <c r="D112" s="128">
        <f>Data!BP47</f>
        <v>94528</v>
      </c>
      <c r="E112" s="291">
        <f t="shared" si="9"/>
        <v>0.31484851049424512</v>
      </c>
      <c r="F112" s="128">
        <v>140000</v>
      </c>
      <c r="G112" s="128">
        <v>97761</v>
      </c>
      <c r="H112" s="128">
        <v>36955</v>
      </c>
      <c r="I112" s="128">
        <v>75609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299"/>
      <c r="B117" s="280" t="s">
        <v>1</v>
      </c>
      <c r="C117" s="280" t="s">
        <v>179</v>
      </c>
      <c r="D117" s="280" t="s">
        <v>179</v>
      </c>
      <c r="E117" s="300" t="s">
        <v>13</v>
      </c>
      <c r="F117" s="309"/>
      <c r="G117" s="292"/>
      <c r="H117" s="299"/>
      <c r="I117" s="299"/>
    </row>
    <row r="118" spans="1:12" ht="15" x14ac:dyDescent="0.25">
      <c r="A118" s="299"/>
      <c r="B118" s="280" t="s">
        <v>3</v>
      </c>
      <c r="C118" s="280" t="s">
        <v>4</v>
      </c>
      <c r="D118" s="280" t="s">
        <v>4</v>
      </c>
      <c r="E118" s="300" t="s">
        <v>9</v>
      </c>
      <c r="F118" s="309"/>
      <c r="G118" s="292"/>
      <c r="H118" s="299"/>
      <c r="I118" s="299"/>
    </row>
    <row r="119" spans="1:12" ht="15.75" thickBot="1" x14ac:dyDescent="0.3">
      <c r="A119" s="301"/>
      <c r="B119" s="282" t="str">
        <f>TEXT($H$3,"MMM")&amp;" "&amp;TEXT($H$3,"YYYY")</f>
        <v>Feb 2019</v>
      </c>
      <c r="C119" s="282" t="str">
        <f>TEXT($H$3,"YYYY")</f>
        <v>2019</v>
      </c>
      <c r="D119" s="282">
        <f>TEXT($H$3,"YYYY")-1</f>
        <v>2018</v>
      </c>
      <c r="E119" s="284" t="s">
        <v>6</v>
      </c>
      <c r="F119" s="284">
        <f>TEXT($H$3,"YYYY")-1</f>
        <v>2018</v>
      </c>
      <c r="G119" s="294">
        <f>TEXT($H$3,"YYYY")-2</f>
        <v>2017</v>
      </c>
      <c r="H119" s="294">
        <f>TEXT($H$3,"YYYY")-3</f>
        <v>2016</v>
      </c>
      <c r="I119" s="294">
        <f>TEXT($H$3,"YYYY")-4</f>
        <v>2015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3547</v>
      </c>
      <c r="C121" s="249">
        <f>Data!BR60</f>
        <v>6565</v>
      </c>
      <c r="D121" s="249">
        <f>Data!BR66</f>
        <v>6970</v>
      </c>
      <c r="E121" s="286">
        <f t="shared" ref="E121:E123" si="10">IFERROR(IF(OR(AND(D121="",C121=""),AND(D121=0,C121=0)),"",
IF(OR(D121="",D121=0),1,
IF(OR(D121&lt;&gt;"",D121&lt;&gt;0),(C121-D121)/ABS(D121)))),-1)</f>
        <v>-5.8106169296987087E-2</v>
      </c>
      <c r="F121" s="364">
        <v>51664</v>
      </c>
      <c r="G121" s="364">
        <v>65590</v>
      </c>
      <c r="H121" s="364">
        <v>66920</v>
      </c>
      <c r="I121" s="364">
        <v>57891</v>
      </c>
      <c r="J121" s="62"/>
    </row>
    <row r="122" spans="1:12" ht="14.25" x14ac:dyDescent="0.2">
      <c r="A122" s="248" t="s">
        <v>146</v>
      </c>
      <c r="B122" s="249">
        <f>Data!BQ50</f>
        <v>2710037</v>
      </c>
      <c r="C122" s="249">
        <f>Data!BQ60</f>
        <v>4513958</v>
      </c>
      <c r="D122" s="249">
        <f>Data!BQ66</f>
        <v>5308927</v>
      </c>
      <c r="E122" s="286">
        <f t="shared" si="10"/>
        <v>-0.14974193466966113</v>
      </c>
      <c r="F122" s="364">
        <v>41807458</v>
      </c>
      <c r="G122" s="364">
        <v>47794037</v>
      </c>
      <c r="H122" s="364">
        <v>34293431</v>
      </c>
      <c r="I122" s="364">
        <v>33917069</v>
      </c>
      <c r="J122" s="62"/>
    </row>
    <row r="123" spans="1:12" ht="14.25" x14ac:dyDescent="0.2">
      <c r="A123" s="248" t="s">
        <v>119</v>
      </c>
      <c r="B123" s="249">
        <f>Data!BP50/1000000</f>
        <v>38555.512459199999</v>
      </c>
      <c r="C123" s="249">
        <f>Data!BP60/1000000</f>
        <v>63924.313078800005</v>
      </c>
      <c r="D123" s="249">
        <f>Data!BP66/1000000</f>
        <v>65850.683215990401</v>
      </c>
      <c r="E123" s="286">
        <f t="shared" si="10"/>
        <v>-2.9253608969733794E-2</v>
      </c>
      <c r="F123" s="364">
        <v>581025</v>
      </c>
      <c r="G123" s="364">
        <v>656092</v>
      </c>
      <c r="H123" s="364">
        <v>522169</v>
      </c>
      <c r="I123" s="364">
        <v>446203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1673271</v>
      </c>
      <c r="C124" s="249">
        <f>B124</f>
        <v>1673271</v>
      </c>
      <c r="D124" s="249">
        <f>VLOOKUP("Future",Data!$BP$71:$BQ$73,2,FALSE)</f>
        <v>1684771</v>
      </c>
      <c r="E124" s="286">
        <f>IFERROR(IF(OR(AND(D124="",C124=""),AND(D124=0,C124=0)),"",
IF(OR(D124="",D124=0),1,
IF(OR(D124&lt;&gt;"",D124&lt;&gt;0),(C124-D124)/ABS(D124)))),-1)</f>
        <v>-6.8258534839452959E-3</v>
      </c>
      <c r="F124" s="364">
        <v>1408969</v>
      </c>
      <c r="G124" s="364">
        <v>2066426</v>
      </c>
      <c r="H124" s="364">
        <v>1090978</v>
      </c>
      <c r="I124" s="364">
        <v>1414841</v>
      </c>
      <c r="J124" s="62"/>
    </row>
    <row r="125" spans="1:12" ht="14.25" x14ac:dyDescent="0.2">
      <c r="A125" s="248"/>
      <c r="B125" s="314"/>
      <c r="C125" s="314"/>
      <c r="D125" s="314"/>
      <c r="E125" s="248"/>
      <c r="F125" s="364"/>
      <c r="G125" s="364"/>
      <c r="H125" s="314"/>
      <c r="I125" s="314"/>
      <c r="J125" s="107"/>
      <c r="K125" s="172"/>
      <c r="L125" s="172"/>
    </row>
    <row r="126" spans="1:12" ht="15" x14ac:dyDescent="0.25">
      <c r="A126" s="288" t="s">
        <v>15</v>
      </c>
      <c r="B126" s="248"/>
      <c r="C126" s="314"/>
      <c r="D126" s="314"/>
      <c r="E126" s="288"/>
      <c r="F126" s="365"/>
      <c r="G126" s="364"/>
      <c r="H126" s="314"/>
      <c r="I126" s="315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344</v>
      </c>
      <c r="C127" s="249">
        <f>Data!BR63</f>
        <v>501</v>
      </c>
      <c r="D127" s="249">
        <f>Data!BR69</f>
        <v>613</v>
      </c>
      <c r="E127" s="286">
        <f t="shared" ref="E127:E129" si="11">IFERROR(IF(OR(AND(D127="",C127=""),AND(D127=0,C127=0)),"",
IF(OR(D127="",D127=0),1,
IF(OR(D127&lt;&gt;"",D127&lt;&gt;0),(C127-D127)/ABS(D127)))),-1)</f>
        <v>-0.18270799347471453</v>
      </c>
      <c r="F127" s="364">
        <v>3561</v>
      </c>
      <c r="G127" s="364">
        <v>4441</v>
      </c>
      <c r="H127" s="364">
        <v>3271</v>
      </c>
      <c r="I127" s="364">
        <v>2622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2299732</v>
      </c>
      <c r="C128" s="249">
        <f>Data!BQ63</f>
        <v>3382853</v>
      </c>
      <c r="D128" s="249">
        <f>Data!BQ69</f>
        <v>5623888</v>
      </c>
      <c r="E128" s="286">
        <f t="shared" si="11"/>
        <v>-0.39848499827877082</v>
      </c>
      <c r="F128" s="364">
        <v>32395827</v>
      </c>
      <c r="G128" s="364">
        <v>20574664</v>
      </c>
      <c r="H128" s="364">
        <v>14030889</v>
      </c>
      <c r="I128" s="364">
        <v>11251621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33055.276351799999</v>
      </c>
      <c r="C129" s="249">
        <f>Data!BP63/1000000</f>
        <v>48129.883057599996</v>
      </c>
      <c r="D129" s="249">
        <f>Data!BP69/1000000</f>
        <v>73725.727243300003</v>
      </c>
      <c r="E129" s="286">
        <f t="shared" si="11"/>
        <v>-0.34717655752966597</v>
      </c>
      <c r="F129" s="364">
        <v>534906</v>
      </c>
      <c r="G129" s="364">
        <v>290641</v>
      </c>
      <c r="H129" s="364">
        <v>212036</v>
      </c>
      <c r="I129" s="364">
        <v>157773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6396021</v>
      </c>
      <c r="C130" s="249">
        <f>MarketProfile!B130</f>
        <v>6396021</v>
      </c>
      <c r="D130" s="249">
        <f>VLOOKUP("Option",Data!$BP$71:$BQ$73,2,FALSE)</f>
        <v>4341689</v>
      </c>
      <c r="E130" s="286">
        <f>IFERROR(IF(OR(AND(D130="",C130=""),AND(D130=0,C130=0)),"",
IF(OR(D130="",D130=0),1,
IF(OR(D130&lt;&gt;"",D130&lt;&gt;0),(C130-D130)/ABS(D130)))),-1)</f>
        <v>0.47316424552748942</v>
      </c>
      <c r="F130" s="364">
        <v>5489721</v>
      </c>
      <c r="G130" s="364">
        <v>4526266</v>
      </c>
      <c r="H130" s="364">
        <v>1240499</v>
      </c>
      <c r="I130" s="364">
        <v>1917456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299"/>
      <c r="B134" s="280" t="s">
        <v>1</v>
      </c>
      <c r="C134" s="280" t="s">
        <v>179</v>
      </c>
      <c r="D134" s="280" t="s">
        <v>179</v>
      </c>
      <c r="E134" s="300" t="s">
        <v>13</v>
      </c>
      <c r="F134" s="309"/>
      <c r="G134" s="292"/>
      <c r="H134" s="299"/>
      <c r="I134" s="299"/>
    </row>
    <row r="135" spans="1:12" ht="15" x14ac:dyDescent="0.25">
      <c r="A135" s="299"/>
      <c r="B135" s="280" t="s">
        <v>3</v>
      </c>
      <c r="C135" s="280" t="s">
        <v>4</v>
      </c>
      <c r="D135" s="280" t="s">
        <v>4</v>
      </c>
      <c r="E135" s="300" t="s">
        <v>9</v>
      </c>
      <c r="F135" s="309"/>
      <c r="G135" s="292"/>
      <c r="H135" s="299"/>
      <c r="I135" s="299"/>
    </row>
    <row r="136" spans="1:12" ht="15.75" thickBot="1" x14ac:dyDescent="0.3">
      <c r="A136" s="301"/>
      <c r="B136" s="282" t="str">
        <f>TEXT($H$3,"MMM")&amp;" "&amp;TEXT($H$3,"YYYY")</f>
        <v>Feb 2019</v>
      </c>
      <c r="C136" s="282" t="str">
        <f>TEXT($H$3,"YYYY")</f>
        <v>2019</v>
      </c>
      <c r="D136" s="282">
        <f>TEXT($H$3,"YYYY")-1</f>
        <v>2018</v>
      </c>
      <c r="E136" s="284" t="s">
        <v>6</v>
      </c>
      <c r="F136" s="284">
        <f>TEXT($H$3,"YYYY")-1</f>
        <v>2018</v>
      </c>
      <c r="G136" s="294">
        <f>TEXT($H$3,"YYYY")-2</f>
        <v>2017</v>
      </c>
      <c r="H136" s="294">
        <f>TEXT($H$3,"YYYY")-3</f>
        <v>2016</v>
      </c>
      <c r="I136" s="294">
        <f>TEXT($H$3,"YYYY")-4</f>
        <v>2015</v>
      </c>
    </row>
    <row r="137" spans="1:12" ht="15" x14ac:dyDescent="0.25">
      <c r="A137" s="288" t="s">
        <v>14</v>
      </c>
      <c r="B137" s="316"/>
      <c r="C137" s="316"/>
      <c r="D137" s="316"/>
      <c r="E137" s="311"/>
      <c r="F137" s="311"/>
      <c r="G137" s="317"/>
      <c r="H137" s="317"/>
      <c r="I137" s="317"/>
    </row>
    <row r="138" spans="1:12" ht="14.25" x14ac:dyDescent="0.2">
      <c r="A138" s="248" t="s">
        <v>117</v>
      </c>
      <c r="B138" s="249">
        <f>SUMIFS(Data!$AC:$AC,Data!$AE:$AE,"1")</f>
        <v>36037</v>
      </c>
      <c r="C138" s="249">
        <f>Data!BR76</f>
        <v>69344</v>
      </c>
      <c r="D138" s="249">
        <f>Data!BR82</f>
        <v>69062</v>
      </c>
      <c r="E138" s="286">
        <f>IFERROR(IF(OR(AND(D138="",C138=""),AND(D138=0,C138=0)),"",
IF(OR(D138="",D138=0),1,
IF(OR(D138&lt;&gt;"",D138&lt;&gt;0),(C138-D138)/ABS(D138)))),-1)</f>
        <v>4.0832874808143411E-3</v>
      </c>
      <c r="F138" s="364">
        <v>401483</v>
      </c>
      <c r="G138" s="364">
        <v>345698</v>
      </c>
      <c r="H138" s="364">
        <v>343265</v>
      </c>
      <c r="I138" s="364">
        <v>319935</v>
      </c>
    </row>
    <row r="139" spans="1:12" ht="14.25" x14ac:dyDescent="0.2">
      <c r="A139" s="248" t="s">
        <v>142</v>
      </c>
      <c r="B139" s="249">
        <f>SUMIFS(Data!$AB:$AB,Data!$AE:$AE,"1")/1000</f>
        <v>283.75599999999997</v>
      </c>
      <c r="C139" s="249">
        <f>Data!BQ76</f>
        <v>489940</v>
      </c>
      <c r="D139" s="249">
        <f>Data!BQ82</f>
        <v>478958</v>
      </c>
      <c r="E139" s="286">
        <f t="shared" ref="E139:E141" si="12">IFERROR(IF(OR(AND(D139="",C139=""),AND(D139=0,C139=0)),"",
IF(OR(D139="",D139=0),1,
IF(OR(D139&lt;&gt;"",D139&lt;&gt;0),(C139-D139)/ABS(D139)))),-1)</f>
        <v>2.2928941577340812E-2</v>
      </c>
      <c r="F139" s="364">
        <v>3080836</v>
      </c>
      <c r="G139" s="364">
        <v>2718</v>
      </c>
      <c r="H139" s="364">
        <v>2955</v>
      </c>
      <c r="I139" s="364">
        <v>2956</v>
      </c>
    </row>
    <row r="140" spans="1:12" ht="14.25" x14ac:dyDescent="0.2">
      <c r="A140" s="248" t="s">
        <v>119</v>
      </c>
      <c r="B140" s="249">
        <f>SUMIFS(Data!$AA:$AA,Data!$AE:$AE,"1")/1000000</f>
        <v>70737.481516605985</v>
      </c>
      <c r="C140" s="249">
        <f>Data!BP76/1000000</f>
        <v>126692.54938882797</v>
      </c>
      <c r="D140" s="249">
        <f>Data!BP82/1000000</f>
        <v>95102.829114558481</v>
      </c>
      <c r="E140" s="286">
        <f t="shared" si="12"/>
        <v>0.33216383327794918</v>
      </c>
      <c r="F140" s="364">
        <v>674379</v>
      </c>
      <c r="G140" s="364">
        <v>566037</v>
      </c>
      <c r="H140" s="364">
        <v>943312</v>
      </c>
      <c r="I140" s="364">
        <v>736984</v>
      </c>
    </row>
    <row r="141" spans="1:12" ht="14.25" x14ac:dyDescent="0.2">
      <c r="A141" s="248" t="s">
        <v>144</v>
      </c>
      <c r="B141" s="249">
        <f>SUMIFS(Data!$AK:$AK,Data!$AL:$AL,"1")</f>
        <v>86915</v>
      </c>
      <c r="C141" s="249">
        <f>B141</f>
        <v>86915</v>
      </c>
      <c r="D141" s="249">
        <f>Data!BP88</f>
        <v>103450</v>
      </c>
      <c r="E141" s="286">
        <f t="shared" si="12"/>
        <v>-0.15983566940550992</v>
      </c>
      <c r="F141" s="364">
        <v>111034</v>
      </c>
      <c r="G141" s="364">
        <v>117783</v>
      </c>
      <c r="H141" s="364">
        <v>65553</v>
      </c>
      <c r="I141" s="364">
        <v>89089</v>
      </c>
    </row>
    <row r="142" spans="1:12" ht="14.25" x14ac:dyDescent="0.2">
      <c r="A142" s="248"/>
      <c r="B142" s="249"/>
      <c r="C142" s="249"/>
      <c r="D142" s="249"/>
      <c r="E142" s="248"/>
      <c r="F142" s="364"/>
      <c r="G142" s="364"/>
      <c r="H142" s="364"/>
      <c r="I142" s="364"/>
    </row>
    <row r="143" spans="1:12" ht="15" x14ac:dyDescent="0.25">
      <c r="A143" s="288" t="s">
        <v>15</v>
      </c>
      <c r="B143" s="249"/>
      <c r="C143" s="249"/>
      <c r="D143" s="249"/>
      <c r="E143" s="248"/>
      <c r="F143" s="364"/>
      <c r="G143" s="364"/>
      <c r="H143" s="364"/>
      <c r="I143" s="364"/>
    </row>
    <row r="144" spans="1:12" ht="14.25" x14ac:dyDescent="0.2">
      <c r="A144" s="248" t="s">
        <v>117</v>
      </c>
      <c r="B144" s="249">
        <f>SUMIFS(Data!$AC:$AC,Data!$AE:$AE,"0")</f>
        <v>3463</v>
      </c>
      <c r="C144" s="249">
        <f>Data!BR79</f>
        <v>9105</v>
      </c>
      <c r="D144" s="249">
        <f>Data!BR85</f>
        <v>6347</v>
      </c>
      <c r="E144" s="286">
        <f>IFERROR(IF(OR(AND(D144="",C144=""),AND(D144=0,C144=0)),"",
IF(OR(D144="",D144=0),1,
IF(OR(D144&lt;&gt;"",D144&lt;&gt;0),(C144-D144)/ABS(D144)))),-1)</f>
        <v>0.43453600126043801</v>
      </c>
      <c r="F144" s="364">
        <v>34033</v>
      </c>
      <c r="G144" s="364">
        <v>30024</v>
      </c>
      <c r="H144" s="364">
        <v>43815</v>
      </c>
      <c r="I144" s="364">
        <v>42966</v>
      </c>
    </row>
    <row r="145" spans="1:10" ht="14.25" x14ac:dyDescent="0.2">
      <c r="A145" s="248" t="s">
        <v>142</v>
      </c>
      <c r="B145" s="249">
        <f>SUMIFS(Data!$AB:$AB,Data!$AE:$AE,"0")/1000</f>
        <v>33.168999999999997</v>
      </c>
      <c r="C145" s="249">
        <f>Data!BQ79</f>
        <v>83761</v>
      </c>
      <c r="D145" s="249">
        <f>Data!BQ85</f>
        <v>58590</v>
      </c>
      <c r="E145" s="286">
        <f t="shared" ref="E145:E146" si="13">IFERROR(IF(OR(AND(D145="",C145=""),AND(D145=0,C145=0)),"",
IF(OR(D145="",D145=0),1,
IF(OR(D145&lt;&gt;"",D145&lt;&gt;0),(C145-D145)/ABS(D145)))),-1)</f>
        <v>0.42961256187062641</v>
      </c>
      <c r="F145" s="364">
        <v>351110</v>
      </c>
      <c r="G145" s="364">
        <v>291</v>
      </c>
      <c r="H145" s="364">
        <v>471</v>
      </c>
      <c r="I145" s="364">
        <v>544</v>
      </c>
    </row>
    <row r="146" spans="1:10" ht="14.25" x14ac:dyDescent="0.2">
      <c r="A146" s="248" t="s">
        <v>119</v>
      </c>
      <c r="B146" s="249">
        <f>SUMIFS(Data!$AA:$AA,Data!$AE:$AE,"0")/1000000</f>
        <v>394.75839066999998</v>
      </c>
      <c r="C146" s="249">
        <f>Data!BP79/1000000</f>
        <v>2120.0959197899901</v>
      </c>
      <c r="D146" s="249">
        <f>Data!BP85/1000000</f>
        <v>444.44539921999001</v>
      </c>
      <c r="E146" s="286">
        <f t="shared" si="13"/>
        <v>3.770205571957316</v>
      </c>
      <c r="F146" s="364">
        <v>4094</v>
      </c>
      <c r="G146" s="364">
        <v>3233</v>
      </c>
      <c r="H146" s="364">
        <v>14527</v>
      </c>
      <c r="I146" s="364">
        <v>12378</v>
      </c>
    </row>
    <row r="147" spans="1:10" ht="14.25" x14ac:dyDescent="0.2">
      <c r="A147" s="248" t="s">
        <v>144</v>
      </c>
      <c r="B147" s="249">
        <f>SUMIFS(Data!$AK:$AK,Data!$AL:$AL,"0")</f>
        <v>46539</v>
      </c>
      <c r="C147" s="249">
        <f>B147</f>
        <v>46539</v>
      </c>
      <c r="D147" s="249">
        <f>Data!BP91</f>
        <v>40271</v>
      </c>
      <c r="E147" s="286">
        <f>IFERROR(IF(OR(AND(D147="",C147=""),AND(D147=0,C147=0)),"",
IF(OR(D147="",D147=0),1,
IF(OR(D147&lt;&gt;"",D147&lt;&gt;0),(C147-D147)/ABS(D147)))),-1)</f>
        <v>0.15564550172580766</v>
      </c>
      <c r="F147" s="364">
        <v>71176</v>
      </c>
      <c r="G147" s="364">
        <v>50578</v>
      </c>
      <c r="H147" s="364">
        <v>36968</v>
      </c>
      <c r="I147" s="364">
        <v>87294</v>
      </c>
    </row>
    <row r="148" spans="1:10" x14ac:dyDescent="0.2">
      <c r="B148" s="3"/>
    </row>
    <row r="149" spans="1:10" ht="12.75" customHeight="1" x14ac:dyDescent="0.2">
      <c r="B149" s="3"/>
      <c r="F149" s="375" t="s">
        <v>200</v>
      </c>
      <c r="G149" s="375"/>
      <c r="H149" s="375"/>
      <c r="I149" s="125"/>
    </row>
    <row r="150" spans="1:10" ht="12.75" customHeight="1" x14ac:dyDescent="0.2">
      <c r="B150" s="3"/>
      <c r="F150" s="375"/>
      <c r="G150" s="375"/>
      <c r="H150" s="375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09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4"/>
      <c r="B153" s="282" t="str">
        <f>TEXT($H$3,"MMM")&amp;" "&amp;TEXT($H$3,"YYYY")</f>
        <v>Feb 2019</v>
      </c>
      <c r="C153" s="282" t="str">
        <f>TEXT(DATE(2000,TEXT(H3,"M")-1,1),"mmm")&amp; " "&amp; TEXT(H3,"YYYY")</f>
        <v>Jan 2019</v>
      </c>
      <c r="D153" s="284" t="s">
        <v>121</v>
      </c>
      <c r="E153" s="282"/>
      <c r="F153" s="282"/>
      <c r="G153" s="282" t="str">
        <f>TEXT($H$3,"MMM")&amp;" "&amp;TEXT($H$3,"YYYY")</f>
        <v>Feb 2019</v>
      </c>
      <c r="H153" s="282" t="str">
        <f>TEXT($H$3,"MMM")&amp;" "&amp;TEXT($H$3,"YYYY")-1</f>
        <v>Feb 2018</v>
      </c>
      <c r="I153" s="284" t="s">
        <v>121</v>
      </c>
      <c r="J153" s="161"/>
    </row>
    <row r="154" spans="1:10" ht="14.25" x14ac:dyDescent="0.2">
      <c r="A154" s="248" t="s">
        <v>122</v>
      </c>
      <c r="B154" s="321">
        <f>VLOOKUP("ABuy",Data!$J$1:$M$5,4,FALSE)/1000000</f>
        <v>140818.93311024923</v>
      </c>
      <c r="C154" s="321">
        <f>VLOOKUP("ABuy",Data!$J$7:$M$11,4,FALSE)/1000000</f>
        <v>134066.47485971477</v>
      </c>
      <c r="D154" s="186">
        <f>((B154/C154)-1)</f>
        <v>5.0366493618931418E-2</v>
      </c>
      <c r="E154" s="321"/>
      <c r="F154" s="321"/>
      <c r="G154" s="321">
        <f>VLOOKUP("Abuy",Data!$J$13:$M$17,4,FALSE)/1000000</f>
        <v>132020.33256477001</v>
      </c>
      <c r="H154" s="321">
        <f>VLOOKUP("Abuy",Data!$J$19:$M$23,4,FALSE)/1000000</f>
        <v>129705.44024102</v>
      </c>
      <c r="I154" s="200">
        <f>((G154/H154)-1)</f>
        <v>1.7847303239158396E-2</v>
      </c>
      <c r="J154" s="161"/>
    </row>
    <row r="155" spans="1:10" ht="14.25" x14ac:dyDescent="0.2">
      <c r="A155" s="248" t="s">
        <v>123</v>
      </c>
      <c r="B155" s="321">
        <f>VLOOKUP("ASell",Data!$J$1:$M$5,4,FALSE)/1000000</f>
        <v>146076.85220734376</v>
      </c>
      <c r="C155" s="321">
        <f>VLOOKUP("Asell",Data!$J$7:$M$11,4,FALSE)/1000000</f>
        <v>144476.40076409382</v>
      </c>
      <c r="D155" s="200">
        <f t="shared" ref="D155:D157" si="14">((B155/C155)-1)</f>
        <v>1.1077597689211682E-2</v>
      </c>
      <c r="E155" s="321"/>
      <c r="F155" s="321"/>
      <c r="G155" s="321">
        <f>VLOOKUP("Asell",Data!$J$13:$M$17,4,FALSE)/1000000</f>
        <v>137548.82734006501</v>
      </c>
      <c r="H155" s="321">
        <f>VLOOKUP("Asell",Data!$J$19:$M$23,4,FALSE)/1000000</f>
        <v>139848.09320208</v>
      </c>
      <c r="I155" s="200">
        <f t="shared" ref="I155:I157" si="15">((G155/H155)-1)</f>
        <v>-1.6441167050397776E-2</v>
      </c>
      <c r="J155" s="161"/>
    </row>
    <row r="156" spans="1:10" ht="14.25" x14ac:dyDescent="0.2">
      <c r="A156" s="248" t="s">
        <v>124</v>
      </c>
      <c r="B156" s="321">
        <f>VLOOKUP("PBuy",Data!$J$1:$M$5,4,FALSE)/1000000</f>
        <v>243615.80393477608</v>
      </c>
      <c r="C156" s="321">
        <f>VLOOKUP("Pbuy",Data!$J$7:$M$11,4,FALSE)/1000000</f>
        <v>235043.34768088555</v>
      </c>
      <c r="D156" s="200">
        <f t="shared" si="14"/>
        <v>3.6471809725622251E-2</v>
      </c>
      <c r="E156" s="321"/>
      <c r="F156" s="321"/>
      <c r="G156" s="321">
        <f>VLOOKUP("Pbuy",Data!$J$13:$M$17,4,FALSE)/1000000</f>
        <v>231008.95734624501</v>
      </c>
      <c r="H156" s="321">
        <f>VLOOKUP("Pbuy",Data!$J$19:$M$23,4,FALSE)/1000000</f>
        <v>221813.58106267001</v>
      </c>
      <c r="I156" s="200">
        <f t="shared" si="15"/>
        <v>4.1455425044407024E-2</v>
      </c>
      <c r="J156" s="161"/>
    </row>
    <row r="157" spans="1:10" ht="14.25" x14ac:dyDescent="0.2">
      <c r="A157" s="248" t="s">
        <v>125</v>
      </c>
      <c r="B157" s="321">
        <f>VLOOKUP("PSell",Data!$J$1:$M$5,4,FALSE)/1000000</f>
        <v>238357.8848376816</v>
      </c>
      <c r="C157" s="321">
        <f>VLOOKUP("Psell",Data!$J$7:$M$11,4,FALSE)/1000000</f>
        <v>224633.42177650656</v>
      </c>
      <c r="D157" s="200">
        <f t="shared" si="14"/>
        <v>6.1097155323707186E-2</v>
      </c>
      <c r="E157" s="321"/>
      <c r="F157" s="321"/>
      <c r="G157" s="321">
        <f>VLOOKUP("Psell",Data!$J$13:$M$17,4,FALSE)/1000000</f>
        <v>225480.46257095001</v>
      </c>
      <c r="H157" s="321">
        <f>VLOOKUP("Psell",Data!$J$19:$M$23,4,FALSE)/1000000</f>
        <v>211670.92810160998</v>
      </c>
      <c r="I157" s="200">
        <f t="shared" si="15"/>
        <v>6.5240581657538321E-2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4"/>
      <c r="B160" s="284" t="s">
        <v>127</v>
      </c>
      <c r="C160" s="284" t="s">
        <v>4</v>
      </c>
      <c r="D160" s="387" t="s">
        <v>128</v>
      </c>
      <c r="E160" s="387"/>
      <c r="F160" s="284" t="s">
        <v>129</v>
      </c>
      <c r="G160" s="383" t="s">
        <v>130</v>
      </c>
      <c r="H160" s="383"/>
      <c r="I160" s="284" t="s">
        <v>28</v>
      </c>
      <c r="J160" s="161"/>
    </row>
    <row r="161" spans="1:10" ht="15" x14ac:dyDescent="0.25">
      <c r="A161" s="288"/>
      <c r="B161" s="311"/>
      <c r="C161" s="311"/>
      <c r="D161" s="311"/>
      <c r="E161" s="311"/>
      <c r="F161" s="311"/>
      <c r="G161" s="311"/>
      <c r="H161" s="248"/>
      <c r="I161" s="311"/>
      <c r="J161" s="161"/>
    </row>
    <row r="162" spans="1:10" ht="14.25" x14ac:dyDescent="0.2">
      <c r="A162" s="248" t="s">
        <v>117</v>
      </c>
      <c r="B162" s="206">
        <v>667996</v>
      </c>
      <c r="C162" s="333">
        <v>42349</v>
      </c>
      <c r="D162" s="386">
        <v>1959547</v>
      </c>
      <c r="E162" s="386"/>
      <c r="F162" s="333">
        <v>42349</v>
      </c>
      <c r="G162" s="386">
        <v>7331360</v>
      </c>
      <c r="H162" s="386"/>
      <c r="I162" s="198" t="s">
        <v>534</v>
      </c>
    </row>
    <row r="163" spans="1:10" ht="14.25" x14ac:dyDescent="0.2">
      <c r="A163" s="248" t="s">
        <v>523</v>
      </c>
      <c r="B163" s="366">
        <v>1762606.3540000001</v>
      </c>
      <c r="C163" s="372">
        <v>43439</v>
      </c>
      <c r="D163" s="386">
        <f>2513652909/1000000</f>
        <v>2513.6529089999999</v>
      </c>
      <c r="E163" s="386"/>
      <c r="F163" s="333">
        <v>42349</v>
      </c>
      <c r="G163" s="386">
        <v>9748834</v>
      </c>
      <c r="H163" s="386"/>
      <c r="I163" s="205" t="s">
        <v>131</v>
      </c>
    </row>
    <row r="164" spans="1:10" ht="14.25" x14ac:dyDescent="0.2">
      <c r="A164" s="248" t="s">
        <v>522</v>
      </c>
      <c r="B164" s="366">
        <v>74815</v>
      </c>
      <c r="C164" s="372">
        <v>43090</v>
      </c>
      <c r="D164" s="386">
        <v>165827</v>
      </c>
      <c r="E164" s="386"/>
      <c r="F164" s="333">
        <v>42631</v>
      </c>
      <c r="G164" s="386">
        <v>612552</v>
      </c>
      <c r="H164" s="386"/>
      <c r="I164" s="205" t="s">
        <v>534</v>
      </c>
    </row>
    <row r="165" spans="1:10" ht="14.25" x14ac:dyDescent="0.2">
      <c r="A165" s="248" t="s">
        <v>498</v>
      </c>
      <c r="B165" s="199">
        <v>16176.59</v>
      </c>
      <c r="C165" s="372">
        <v>43039</v>
      </c>
      <c r="D165" s="206"/>
      <c r="E165" s="205"/>
      <c r="F165" s="206"/>
      <c r="G165" s="205"/>
      <c r="H165" s="304"/>
      <c r="I165" s="304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Feb 2019</v>
      </c>
      <c r="G177" s="125"/>
      <c r="H177" s="125"/>
    </row>
    <row r="178" spans="1:11" ht="12.75" customHeight="1" x14ac:dyDescent="0.2">
      <c r="F178" s="375" t="s">
        <v>200</v>
      </c>
      <c r="G178" s="375"/>
      <c r="H178" s="375"/>
    </row>
    <row r="179" spans="1:11" x14ac:dyDescent="0.2">
      <c r="F179" s="375"/>
      <c r="G179" s="375"/>
      <c r="H179" s="375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January 2019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8"/>
      <c r="F182" s="395" t="s">
        <v>209</v>
      </c>
      <c r="G182" s="395"/>
      <c r="H182" s="395"/>
      <c r="I182" s="395"/>
    </row>
    <row r="183" spans="1:11" ht="15.75" thickBot="1" x14ac:dyDescent="0.3">
      <c r="A183" s="294"/>
      <c r="B183" s="319" t="str">
        <f>TEXT(DATE(2000,TEXT(H3,"M")-1,1),"mmm")&amp; " "&amp; TEXT(H3,"YYYY")</f>
        <v>Jan 2019</v>
      </c>
      <c r="C183" s="284" t="s">
        <v>16</v>
      </c>
      <c r="D183" s="319" t="str">
        <f>TEXT(DATE(2000,TEXT(H3,"M")-1,1),"mmm")&amp; " "&amp; TEXT(H3,"YYYY")-1</f>
        <v>Jan 2018</v>
      </c>
      <c r="E183" s="320" t="s">
        <v>16</v>
      </c>
      <c r="F183" s="294">
        <f>TEXT($H$3,"YYYY")-1</f>
        <v>2018</v>
      </c>
      <c r="G183" s="284">
        <f>TEXT($H$3,"YYYY")-2</f>
        <v>2017</v>
      </c>
      <c r="H183" s="294">
        <f>TEXT($H$3,"YYYY")-3</f>
        <v>2016</v>
      </c>
      <c r="I183" s="284">
        <f>TEXT($H$3,"YYYY")-4</f>
        <v>2015</v>
      </c>
    </row>
    <row r="184" spans="1:11" ht="14.25" x14ac:dyDescent="0.2">
      <c r="A184" s="248" t="s">
        <v>17</v>
      </c>
      <c r="B184" s="401">
        <v>958208.02555910498</v>
      </c>
      <c r="C184" s="404">
        <v>19</v>
      </c>
      <c r="D184" s="405">
        <v>1230977.19241447</v>
      </c>
      <c r="E184" s="407">
        <v>17</v>
      </c>
      <c r="F184" s="402">
        <v>19</v>
      </c>
      <c r="G184" s="343">
        <v>17</v>
      </c>
      <c r="H184" s="304">
        <v>18</v>
      </c>
      <c r="I184" s="343">
        <v>17</v>
      </c>
      <c r="K184" s="126"/>
    </row>
    <row r="185" spans="1:11" ht="14.25" x14ac:dyDescent="0.2">
      <c r="A185" s="248" t="s">
        <v>18</v>
      </c>
      <c r="B185" s="401">
        <v>27747.403871452771</v>
      </c>
      <c r="C185" s="404">
        <v>21</v>
      </c>
      <c r="D185" s="405">
        <v>42918.128733697893</v>
      </c>
      <c r="E185" s="407">
        <v>21</v>
      </c>
      <c r="F185" s="402">
        <v>19</v>
      </c>
      <c r="G185" s="343">
        <v>20</v>
      </c>
      <c r="H185" s="304">
        <v>20</v>
      </c>
      <c r="I185" s="343">
        <v>24</v>
      </c>
      <c r="K185" s="262"/>
    </row>
    <row r="186" spans="1:11" ht="14.25" x14ac:dyDescent="0.2">
      <c r="A186" s="248" t="s">
        <v>164</v>
      </c>
      <c r="B186" s="403">
        <v>0.33093066773283919</v>
      </c>
      <c r="C186" s="404">
        <v>27</v>
      </c>
      <c r="D186" s="406">
        <v>0.37758154419916468</v>
      </c>
      <c r="E186" s="407">
        <v>24</v>
      </c>
      <c r="F186" s="402">
        <v>25</v>
      </c>
      <c r="G186" s="343">
        <v>30</v>
      </c>
      <c r="H186" s="304">
        <v>22</v>
      </c>
      <c r="I186" s="343">
        <v>29</v>
      </c>
      <c r="K186" s="262"/>
    </row>
    <row r="187" spans="1:11" ht="14.25" x14ac:dyDescent="0.2">
      <c r="A187" s="248" t="s">
        <v>165</v>
      </c>
      <c r="B187" s="403">
        <v>0.33093066773283919</v>
      </c>
      <c r="C187" s="404">
        <v>27</v>
      </c>
      <c r="D187" s="406">
        <v>0.37758154419916468</v>
      </c>
      <c r="E187" s="407">
        <v>24</v>
      </c>
      <c r="F187" s="402">
        <v>30</v>
      </c>
      <c r="G187" s="343">
        <v>25</v>
      </c>
      <c r="H187" s="304">
        <v>22</v>
      </c>
      <c r="I187" s="343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12"/>
      <c r="G188" s="144"/>
      <c r="H188" s="112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2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2"/>
      <c r="G195" s="281"/>
      <c r="H195" s="281"/>
      <c r="I195" s="281"/>
    </row>
    <row r="196" spans="1:9" ht="15.75" thickBot="1" x14ac:dyDescent="0.3">
      <c r="A196" s="294"/>
      <c r="B196" s="282" t="str">
        <f>TEXT($H$3,"MMM")&amp;" "&amp;TEXT($H$3,"YYYY")</f>
        <v>Feb 2019</v>
      </c>
      <c r="C196" s="282" t="str">
        <f>TEXT($H$3,"YYYY")</f>
        <v>2019</v>
      </c>
      <c r="D196" s="282">
        <f>TEXT($H$3,"YYYY")-1</f>
        <v>2018</v>
      </c>
      <c r="E196" s="284" t="s">
        <v>6</v>
      </c>
      <c r="F196" s="284">
        <f>TEXT($H$3,"YYYY")-1</f>
        <v>2018</v>
      </c>
      <c r="G196" s="284">
        <f>TEXT($H$3,"YYYY")-2</f>
        <v>2017</v>
      </c>
      <c r="H196" s="284">
        <f>TEXT($H$3,"YYYY")-3</f>
        <v>2016</v>
      </c>
      <c r="I196" s="284">
        <f>TEXT($H$3,"YYYY")-4</f>
        <v>2015</v>
      </c>
    </row>
    <row r="197" spans="1:9" ht="14.25" x14ac:dyDescent="0.2">
      <c r="A197" s="248" t="s">
        <v>21</v>
      </c>
      <c r="B197" s="195">
        <f>SUMIF(Data!$DG$1:$DG$15,"AS",Data!$DH$1:$DH$15)/1000000</f>
        <v>0</v>
      </c>
      <c r="C197" s="359">
        <f>SUMIF(Data!$DJ$1:$DJ$15,"AS",Data!$DK$1:$DK$15)/1000000</f>
        <v>299.99999400000002</v>
      </c>
      <c r="D197" s="359">
        <f>SUMIF(Data!$DM$1:$DM$15,"AS",Data!$DN$1:$DN$15)/1000000</f>
        <v>0</v>
      </c>
      <c r="E197" s="361">
        <f>IFERROR(IF(OR(AND(D197="",C197=""),AND(D197=0,C197=0)),0,
IF(OR(D197="",D197=0),1,
IF(OR(D197&lt;&gt;"",D197&lt;&gt;0),(C197-D197)/ABS(D197)))),-1)</f>
        <v>1</v>
      </c>
      <c r="F197" s="366">
        <v>5231</v>
      </c>
      <c r="G197" s="367">
        <v>23315</v>
      </c>
      <c r="H197" s="367">
        <v>13085</v>
      </c>
      <c r="I197" s="367">
        <v>93130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132</v>
      </c>
      <c r="C198" s="359">
        <f>(SUMIF(Data!$DJ$1:$DJ$15,"RT",Data!$DK$1:$DK$15)+SUMIF(Data!$DJ$1:$DJ$15,"TU",Data!$DK$1:$DK$15))/1000000</f>
        <v>132</v>
      </c>
      <c r="D198" s="359">
        <f>(SUMIF(Data!$DM$1:$DM$15,"RT",Data!$DN$1:$DN$15)+SUMIF(Data!$DM$1:$DM$15,"TU",Data!$DN$1:$DN$15))/1000000</f>
        <v>1062.99999708</v>
      </c>
      <c r="E198" s="361">
        <f t="shared" ref="E198:E201" si="16">IFERROR(IF(OR(AND(D198="",C198=""),AND(D198=0,C198=0)),0,
IF(OR(D198="",D198=0),1,
IF(OR(D198&lt;&gt;"",D198&lt;&gt;0),(C198-D198)/ABS(D198)))),-1)</f>
        <v>-0.87582314170969289</v>
      </c>
      <c r="F198" s="366">
        <v>5097</v>
      </c>
      <c r="G198" s="367">
        <v>32688</v>
      </c>
      <c r="H198" s="367">
        <v>24160</v>
      </c>
      <c r="I198" s="367">
        <v>35842</v>
      </c>
    </row>
    <row r="199" spans="1:9" ht="14.25" x14ac:dyDescent="0.2">
      <c r="A199" s="248" t="s">
        <v>176</v>
      </c>
      <c r="B199" s="195">
        <v>0</v>
      </c>
      <c r="C199" s="359">
        <v>0</v>
      </c>
      <c r="D199" s="359">
        <v>0</v>
      </c>
      <c r="E199" s="361">
        <f t="shared" si="16"/>
        <v>0</v>
      </c>
      <c r="F199" s="366" t="s">
        <v>667</v>
      </c>
      <c r="G199" s="185" t="s">
        <v>668</v>
      </c>
      <c r="H199" s="185" t="s">
        <v>669</v>
      </c>
      <c r="I199" s="185" t="s">
        <v>670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70.882397010000005</v>
      </c>
      <c r="C200" s="359">
        <f>(SUMIF(Data!$DJ$1:$DJ$15,"SO",Data!$DK$1:$DK$15)+SUMIF(Data!$DJ$1:$DJ$15,"SS",Data!$DK$1:$DK$15))/1000000</f>
        <v>118.4181655</v>
      </c>
      <c r="D200" s="359">
        <f>(SUMIF(Data!$DM$1:$DM$15,"SO",Data!$DN$1:$DN$15)+SUMIF(Data!$DM$1:$DM$15,"SS",Data!$DN$1:$DN$15))/1000000</f>
        <v>166.60335788999998</v>
      </c>
      <c r="E200" s="361">
        <f t="shared" si="16"/>
        <v>-0.28922101571214609</v>
      </c>
      <c r="F200" s="366">
        <v>6461</v>
      </c>
      <c r="G200" s="367">
        <v>9468</v>
      </c>
      <c r="H200" s="367">
        <v>9374</v>
      </c>
      <c r="I200" s="367">
        <v>11688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2381.9077622199998</v>
      </c>
      <c r="C201" s="359">
        <f>(SUMIF(Data!$DJ$1:$DJ$15,"SI",Data!$DK$1:$DK$15)+SUMIF(Data!$DJ$1:$DJ$15,"GI",Data!$DK$1:$DK$15))/1000000</f>
        <v>2381.9747622199998</v>
      </c>
      <c r="D201" s="359">
        <f>(SUMIF(Data!$DM$1:$DM$15,"SI",Data!$DN$1:$DN$15)+SUMIF(Data!$DM$1:$DM$15,"GI",Data!$DN$1:$DN$15))/1000000</f>
        <v>4177.8769458099996</v>
      </c>
      <c r="E201" s="361">
        <f t="shared" si="16"/>
        <v>-0.4298599999196035</v>
      </c>
      <c r="F201" s="366">
        <v>38830</v>
      </c>
      <c r="G201" s="367">
        <v>35048</v>
      </c>
      <c r="H201" s="367">
        <v>69649</v>
      </c>
      <c r="I201" s="367">
        <v>109530</v>
      </c>
    </row>
    <row r="202" spans="1:9" ht="15" x14ac:dyDescent="0.25">
      <c r="A202" s="288" t="s">
        <v>25</v>
      </c>
      <c r="B202" s="360">
        <f>SUM(B197:B201)</f>
        <v>2584.79015923</v>
      </c>
      <c r="C202" s="360">
        <f>SUM(C197:C201)</f>
        <v>2932.3929217199998</v>
      </c>
      <c r="D202" s="360">
        <f>SUM(D197:D201)</f>
        <v>5407.4803007800001</v>
      </c>
      <c r="E202" s="362">
        <f>IFERROR(IF(OR(AND(D202="",C202=""),AND(D202=0,C202=0)),0,
IF(OR(D202="",D202=0),1,
IF(OR(D202&lt;&gt;"",D202&lt;&gt;0),(C202-D202)/ABS(D202)))),-1)</f>
        <v>-0.45771546846004824</v>
      </c>
      <c r="F202" s="373">
        <v>55620</v>
      </c>
      <c r="G202" s="373">
        <v>100520</v>
      </c>
      <c r="H202" s="373">
        <v>116269</v>
      </c>
      <c r="I202" s="373">
        <v>250190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2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2"/>
      <c r="G208" s="281"/>
      <c r="H208" s="281"/>
      <c r="I208" s="281"/>
    </row>
    <row r="209" spans="1:9" ht="15.75" thickBot="1" x14ac:dyDescent="0.3">
      <c r="A209" s="294"/>
      <c r="B209" s="282" t="str">
        <f>TEXT($H$3,"MMM")&amp;" "&amp;TEXT($H$3,"YYYY")</f>
        <v>Feb 2019</v>
      </c>
      <c r="C209" s="282" t="str">
        <f>TEXT($H$3,"YYYY")</f>
        <v>2019</v>
      </c>
      <c r="D209" s="282">
        <f>TEXT($H$3,"YYYY")-1</f>
        <v>2018</v>
      </c>
      <c r="E209" s="284" t="s">
        <v>6</v>
      </c>
      <c r="F209" s="284">
        <f>TEXT($H$3,"YYYY")-1</f>
        <v>2018</v>
      </c>
      <c r="G209" s="284">
        <f>TEXT($H$3,"YYYY")-2</f>
        <v>2017</v>
      </c>
      <c r="H209" s="284">
        <f>TEXT($H$3,"YYYY")-3</f>
        <v>2016</v>
      </c>
      <c r="I209" s="284">
        <f>TEXT($H$3,"YYYY")-4</f>
        <v>2015</v>
      </c>
    </row>
    <row r="210" spans="1:9" ht="14.25" x14ac:dyDescent="0.2">
      <c r="A210" s="248" t="s">
        <v>172</v>
      </c>
      <c r="B210" s="286">
        <v>0.39610000000000001</v>
      </c>
      <c r="C210" s="286">
        <v>0.37380000000000002</v>
      </c>
      <c r="D210" s="286">
        <v>0.42309999999999998</v>
      </c>
      <c r="E210" s="286">
        <f>IFERROR(IF(OR(AND(D210="",C210=""),AND(D210=0,C210=0)),"",
IF(OR(D210="",D210=0),1,
IF(OR(D210&lt;&gt;"",D210&lt;&gt;0),(C210-D210)/ABS(D210)))),-1)</f>
        <v>-0.11652091704088859</v>
      </c>
      <c r="F210" s="370">
        <v>44.7</v>
      </c>
      <c r="G210" s="370">
        <v>35.9</v>
      </c>
      <c r="H210" s="370">
        <v>34.9</v>
      </c>
      <c r="I210" s="370">
        <v>42.8</v>
      </c>
    </row>
    <row r="211" spans="1:9" ht="14.25" x14ac:dyDescent="0.2">
      <c r="A211" s="247" t="s">
        <v>173</v>
      </c>
      <c r="B211" s="286">
        <v>0.376</v>
      </c>
      <c r="C211" s="286">
        <v>0.35580000000000001</v>
      </c>
      <c r="D211" s="286">
        <v>0.39839999999999998</v>
      </c>
      <c r="E211" s="286">
        <f>IFERROR(IF(OR(AND(D211="",C211=""),AND(D211=0,C211=0)),"",
IF(OR(D211="",D211=0),1,
IF(OR(D211&lt;&gt;"",D211&lt;&gt;0),(C211-D211)/ABS(D211)))),-1)</f>
        <v>-0.10692771084337342</v>
      </c>
      <c r="F211" s="370">
        <v>42</v>
      </c>
      <c r="G211" s="370">
        <v>33</v>
      </c>
      <c r="H211" s="370">
        <v>32.6</v>
      </c>
      <c r="I211" s="370">
        <v>39.9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532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2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2"/>
      <c r="G218" s="281"/>
      <c r="H218" s="281"/>
      <c r="I218" s="281"/>
    </row>
    <row r="219" spans="1:9" ht="15.75" thickBot="1" x14ac:dyDescent="0.3">
      <c r="A219" s="294"/>
      <c r="B219" s="282" t="str">
        <f>TEXT($H$3,"MMM")&amp;" "&amp;TEXT($H$3,"YYYY")</f>
        <v>Feb 2019</v>
      </c>
      <c r="C219" s="282" t="str">
        <f>TEXT($H$3,"YYYY")</f>
        <v>2019</v>
      </c>
      <c r="D219" s="282">
        <f>TEXT($H$3,"YYYY")-1</f>
        <v>2018</v>
      </c>
      <c r="E219" s="284" t="s">
        <v>6</v>
      </c>
      <c r="F219" s="284">
        <f>TEXT($H$3,"YYYY")-1</f>
        <v>2018</v>
      </c>
      <c r="G219" s="284">
        <f>TEXT($H$3,"YYYY")-2</f>
        <v>2017</v>
      </c>
      <c r="H219" s="284">
        <f>TEXT($H$3,"YYYY")-3</f>
        <v>2016</v>
      </c>
      <c r="I219" s="284">
        <f>TEXT($H$3,"YYYY")-4</f>
        <v>2015</v>
      </c>
    </row>
    <row r="220" spans="1:9" ht="15" x14ac:dyDescent="0.25">
      <c r="A220" s="313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321</v>
      </c>
      <c r="C221" s="249">
        <f>SUMIF(Data!$BT$9:$BT$14,"&lt;&gt;AltX",Data!BU9:BU14)</f>
        <v>321</v>
      </c>
      <c r="D221" s="249">
        <f>SUMIF(Data!$BT$17:$BT$23,"&lt;&gt;AltX",Data!$BU$17:$BU$24)</f>
        <v>323</v>
      </c>
      <c r="E221" s="286">
        <f>IFERROR(IF(OR(AND(D221="",C221=""),AND(D221=0,C221=0)),"",
IF(OR(D221="",D221=0),1,
IF(OR(D221&lt;&gt;"",D221&lt;&gt;0),(C221-D221)/ABS(D221)))),-1)</f>
        <v>-6.1919504643962852E-3</v>
      </c>
      <c r="F221" s="364">
        <v>326</v>
      </c>
      <c r="G221" s="364">
        <v>324</v>
      </c>
      <c r="H221" s="364">
        <v>328</v>
      </c>
      <c r="I221" s="364">
        <v>331</v>
      </c>
    </row>
    <row r="222" spans="1:9" ht="14.25" x14ac:dyDescent="0.2">
      <c r="A222" s="248" t="s">
        <v>30</v>
      </c>
      <c r="B222" s="249">
        <f ca="1">SUMIF(Data!$BT$1:$BT$7,"&lt;&gt;AltX",Data!$BV$1:$BV$6)</f>
        <v>1</v>
      </c>
      <c r="C222" s="249">
        <f>SUMIF(Data!$BT$9:$BT$14,"&lt;&gt;AltX",Data!BV9:BV14)</f>
        <v>1</v>
      </c>
      <c r="D222" s="249">
        <f>SUMIF(Data!$BT$17:$BT$23,"&lt;&gt;AltX",Data!$BV$17:$BV$23)</f>
        <v>0</v>
      </c>
      <c r="E222" s="286">
        <f t="shared" ref="E222:E223" si="17">IFERROR(IF(OR(AND(D222="",C222=""),AND(D222=0,C222=0)),"",
IF(OR(D222="",D222=0),1,
IF(OR(D222&lt;&gt;"",D222&lt;&gt;0),(C222-D222)/ABS(D222)))),-1)</f>
        <v>1</v>
      </c>
      <c r="F222" s="364">
        <v>11</v>
      </c>
      <c r="G222" s="364">
        <v>13</v>
      </c>
      <c r="H222" s="364">
        <v>11</v>
      </c>
      <c r="I222" s="364">
        <v>15</v>
      </c>
    </row>
    <row r="223" spans="1:9" ht="14.25" x14ac:dyDescent="0.2">
      <c r="A223" s="248" t="s">
        <v>31</v>
      </c>
      <c r="B223" s="249">
        <f ca="1">SUMIF(Data!$BT$1:$BT$7,"&lt;&gt;AltX",Data!$BW$1:$BW$6)</f>
        <v>5</v>
      </c>
      <c r="C223" s="249">
        <f>SUMIF(Data!$BT$9:$BT$14,"&lt;&gt;AltX",Data!BW9:BW14)</f>
        <v>6</v>
      </c>
      <c r="D223" s="249">
        <f>SUMIF(Data!$BT$17:$BT$23,"&lt;&gt;AltX",Data!$BW$17:$BW$23)</f>
        <v>1</v>
      </c>
      <c r="E223" s="286">
        <f t="shared" si="17"/>
        <v>5</v>
      </c>
      <c r="F223" s="364">
        <v>9</v>
      </c>
      <c r="G223" s="364">
        <v>21</v>
      </c>
      <c r="H223" s="364">
        <v>17</v>
      </c>
      <c r="I223" s="364">
        <v>18</v>
      </c>
    </row>
    <row r="224" spans="1:9" ht="14.25" x14ac:dyDescent="0.2">
      <c r="A224" s="248"/>
      <c r="B224" s="249"/>
      <c r="C224" s="249"/>
      <c r="D224" s="249"/>
      <c r="E224" s="323"/>
      <c r="F224" s="364"/>
      <c r="G224" s="364"/>
      <c r="H224" s="364"/>
      <c r="I224" s="364"/>
    </row>
    <row r="225" spans="1:9" ht="15" x14ac:dyDescent="0.25">
      <c r="A225" s="288" t="s">
        <v>139</v>
      </c>
      <c r="B225" s="249"/>
      <c r="C225" s="249"/>
      <c r="D225" s="249"/>
      <c r="E225" s="323"/>
      <c r="F225" s="364"/>
      <c r="G225" s="364"/>
      <c r="H225" s="364"/>
      <c r="I225" s="364"/>
    </row>
    <row r="226" spans="1:9" ht="14.25" x14ac:dyDescent="0.2">
      <c r="A226" s="248" t="s">
        <v>29</v>
      </c>
      <c r="B226" s="249">
        <f ca="1">SUMIF(Data!$BT$1:$BT$7,"AltX",Data!$BU$1:$BU$6)</f>
        <v>44</v>
      </c>
      <c r="C226" s="249">
        <f>SUMIF(Data!$BT$9:$BT$14,"AltX",Data!BU9:BU14)</f>
        <v>44</v>
      </c>
      <c r="D226" s="249">
        <f>SUMIF(Data!$BT$17:$BT$23,"AltX",Data!$BU$17:$BU$24)</f>
        <v>51</v>
      </c>
      <c r="E226" s="286">
        <f t="shared" ref="E226:E227" si="18">IFERROR(IF(OR(AND(D226="",C226=""),AND(D226=0,C226=0)),"",
IF(OR(D226="",D226=0),1,
IF(OR(D226&lt;&gt;"",D226&lt;&gt;0),(C226-D226)/ABS(D226)))),-1)</f>
        <v>-0.13725490196078433</v>
      </c>
      <c r="F226" s="364">
        <v>46</v>
      </c>
      <c r="G226" s="364">
        <v>53</v>
      </c>
      <c r="H226" s="364">
        <v>60</v>
      </c>
      <c r="I226" s="364">
        <v>64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0</v>
      </c>
      <c r="D227" s="249">
        <f>SUMIF(Data!$BT$17:$BT$23,"AltX",Data!$BV$17:$BV$23)</f>
        <v>0</v>
      </c>
      <c r="E227" s="286" t="str">
        <f t="shared" si="18"/>
        <v/>
      </c>
      <c r="F227" s="364">
        <v>1</v>
      </c>
      <c r="G227" s="364">
        <v>8</v>
      </c>
      <c r="H227" s="364">
        <v>7</v>
      </c>
      <c r="I227" s="364">
        <v>8</v>
      </c>
    </row>
    <row r="228" spans="1:9" ht="14.25" x14ac:dyDescent="0.2">
      <c r="A228" s="248" t="s">
        <v>31</v>
      </c>
      <c r="B228" s="249">
        <f ca="1">SUMIF(Data!$BT$1:$BT$7,"AltX",Data!$BW$1:$BW$6)</f>
        <v>2</v>
      </c>
      <c r="C228" s="249">
        <f>SUMIF(Data!$BT$9:$BT$14,"AltX",Data!BW9:BW14)</f>
        <v>2</v>
      </c>
      <c r="D228" s="249">
        <f>SUMIF(Data!$BT$17:$BT$23,"AltX",Data!$BW$17:$BW$23)</f>
        <v>2</v>
      </c>
      <c r="E228" s="286">
        <f t="shared" ref="E228" ca="1" si="19">IFERROR(IF(OR(AND(C228="",B228=""),AND(C228=0,B228=0)),"",
IF(OR(C228="",C228=0),1,
IF(OR(C228&lt;&gt;"",C228&lt;&gt;0),(B228-C228)/ABS(C228)))),-1)</f>
        <v>0</v>
      </c>
      <c r="F228" s="364">
        <v>8</v>
      </c>
      <c r="G228" s="364">
        <v>11</v>
      </c>
      <c r="H228" s="364">
        <v>8</v>
      </c>
      <c r="I228" s="364">
        <v>1</v>
      </c>
    </row>
    <row r="229" spans="1:9" ht="14.25" x14ac:dyDescent="0.2">
      <c r="A229" s="248"/>
      <c r="B229" s="249"/>
      <c r="C229" s="249"/>
      <c r="D229" s="249"/>
      <c r="E229" s="323"/>
      <c r="F229" s="364"/>
      <c r="G229" s="364"/>
      <c r="H229" s="364"/>
      <c r="I229" s="364"/>
    </row>
    <row r="230" spans="1:9" ht="15" x14ac:dyDescent="0.25">
      <c r="A230" s="288" t="s">
        <v>32</v>
      </c>
      <c r="B230" s="249"/>
      <c r="C230" s="249"/>
      <c r="D230" s="249"/>
      <c r="E230" s="323"/>
      <c r="F230" s="364"/>
      <c r="G230" s="364"/>
      <c r="H230" s="364"/>
      <c r="I230" s="364"/>
    </row>
    <row r="231" spans="1:9" ht="14.25" x14ac:dyDescent="0.2">
      <c r="A231" s="248" t="s">
        <v>30</v>
      </c>
      <c r="B231" s="249">
        <f t="shared" ref="B231:D232" ca="1" si="20">B222+B227</f>
        <v>1</v>
      </c>
      <c r="C231" s="249">
        <f t="shared" si="20"/>
        <v>1</v>
      </c>
      <c r="D231" s="249">
        <f t="shared" si="20"/>
        <v>0</v>
      </c>
      <c r="E231" s="286">
        <f t="shared" ref="E231:E237" si="21">IFERROR(IF(OR(AND(D231="",C231=""),AND(D231=0,C231=0)),"",
IF(OR(D231="",D231=0),1,
IF(OR(D231&lt;&gt;"",D231&lt;&gt;0),(C231-D231)/ABS(D231)))),-1)</f>
        <v>1</v>
      </c>
      <c r="F231" s="364">
        <v>12</v>
      </c>
      <c r="G231" s="364">
        <v>21</v>
      </c>
      <c r="H231" s="364">
        <v>18</v>
      </c>
      <c r="I231" s="364">
        <v>23</v>
      </c>
    </row>
    <row r="232" spans="1:9" ht="14.25" x14ac:dyDescent="0.2">
      <c r="A232" s="248" t="s">
        <v>31</v>
      </c>
      <c r="B232" s="249">
        <f t="shared" ca="1" si="20"/>
        <v>7</v>
      </c>
      <c r="C232" s="249">
        <f t="shared" si="20"/>
        <v>8</v>
      </c>
      <c r="D232" s="249">
        <f t="shared" si="20"/>
        <v>3</v>
      </c>
      <c r="E232" s="286">
        <f>IFERROR(IF(OR(AND(D232="",C232=""),AND(D232=0,C232=0)),"",
IF(OR(D232="",D232=0),1,
IF(OR(D232&lt;&gt;"",D232&lt;&gt;0),(C232-D232)/ABS(D232)))),-1)</f>
        <v>1.6666666666666667</v>
      </c>
      <c r="F232" s="364">
        <v>17</v>
      </c>
      <c r="G232" s="364">
        <v>32</v>
      </c>
      <c r="H232" s="364">
        <v>25</v>
      </c>
      <c r="I232" s="364">
        <v>19</v>
      </c>
    </row>
    <row r="233" spans="1:9" ht="14.25" x14ac:dyDescent="0.2">
      <c r="A233" s="248" t="s">
        <v>33</v>
      </c>
      <c r="B233" s="249">
        <f>SUM(Data!$CB$2:$CB$6)</f>
        <v>72</v>
      </c>
      <c r="C233" s="249">
        <f>SUM(Data!$CB$10:$CB$14)</f>
        <v>72</v>
      </c>
      <c r="D233" s="249">
        <f>SUM(Data!CB18:CB22)</f>
        <v>74</v>
      </c>
      <c r="E233" s="286">
        <f t="shared" si="21"/>
        <v>-2.7027027027027029E-2</v>
      </c>
      <c r="F233" s="364">
        <v>74</v>
      </c>
      <c r="G233" s="364">
        <v>75</v>
      </c>
      <c r="H233" s="364">
        <v>76</v>
      </c>
      <c r="I233" s="364">
        <v>71</v>
      </c>
    </row>
    <row r="234" spans="1:9" ht="14.25" x14ac:dyDescent="0.2">
      <c r="A234" s="248" t="s">
        <v>34</v>
      </c>
      <c r="B234" s="249">
        <f>SUM(Data!$CA$2:$CA$6)</f>
        <v>293</v>
      </c>
      <c r="C234" s="249">
        <f>SUM(Data!$CA$10:$CA$14)</f>
        <v>293</v>
      </c>
      <c r="D234" s="249">
        <f>SUM(Data!CA18:CA22)</f>
        <v>300</v>
      </c>
      <c r="E234" s="286">
        <f t="shared" si="21"/>
        <v>-2.3333333333333334E-2</v>
      </c>
      <c r="F234" s="364">
        <v>298</v>
      </c>
      <c r="G234" s="364">
        <v>302</v>
      </c>
      <c r="H234" s="364">
        <v>312</v>
      </c>
      <c r="I234" s="364">
        <v>324</v>
      </c>
    </row>
    <row r="235" spans="1:9" ht="15" x14ac:dyDescent="0.25">
      <c r="A235" s="288" t="s">
        <v>35</v>
      </c>
      <c r="B235" s="250">
        <f ca="1">B221+B226</f>
        <v>365</v>
      </c>
      <c r="C235" s="250">
        <f>C221+C226</f>
        <v>365</v>
      </c>
      <c r="D235" s="250">
        <f>D221+D226</f>
        <v>374</v>
      </c>
      <c r="E235" s="324">
        <f t="shared" si="21"/>
        <v>-2.4064171122994651E-2</v>
      </c>
      <c r="F235" s="365">
        <v>372</v>
      </c>
      <c r="G235" s="365">
        <v>377</v>
      </c>
      <c r="H235" s="365">
        <v>388</v>
      </c>
      <c r="I235" s="365">
        <v>395</v>
      </c>
    </row>
    <row r="236" spans="1:9" ht="15" x14ac:dyDescent="0.25">
      <c r="A236" s="288"/>
      <c r="B236" s="249"/>
      <c r="C236" s="249"/>
      <c r="D236" s="250"/>
      <c r="E236" s="248"/>
      <c r="F236" s="364"/>
      <c r="G236" s="364"/>
      <c r="H236" s="364"/>
      <c r="I236" s="364"/>
    </row>
    <row r="237" spans="1:9" ht="15" x14ac:dyDescent="0.25">
      <c r="A237" s="288" t="s">
        <v>36</v>
      </c>
      <c r="B237" s="250">
        <f>Data!CD2</f>
        <v>896</v>
      </c>
      <c r="C237" s="250">
        <f>Data!CD2</f>
        <v>896</v>
      </c>
      <c r="D237" s="250">
        <f>Data!CD5</f>
        <v>810</v>
      </c>
      <c r="E237" s="324">
        <f t="shared" si="21"/>
        <v>0.10617283950617284</v>
      </c>
      <c r="F237" s="365">
        <v>822</v>
      </c>
      <c r="G237" s="365">
        <v>812</v>
      </c>
      <c r="H237" s="365">
        <v>816</v>
      </c>
      <c r="I237" s="365">
        <v>858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5">
        <f>Data!CE2/1000000000</f>
        <v>15663.610794592871</v>
      </c>
      <c r="C239" s="325"/>
      <c r="D239" s="325">
        <f>Data!CE5/1000000000</f>
        <v>14791.719072200009</v>
      </c>
      <c r="E239" s="324">
        <f>IFERROR(IF(OR(AND(D239="",B239=""),AND(D239=0,B239=0)),"",
IF(OR(D239="",D239=0),1,
IF(OR(D239&lt;&gt;"",D239&lt;&gt;0),(B239-D239)/ABS(D239)))),-1)</f>
        <v>5.8944583664485684E-2</v>
      </c>
      <c r="F239" s="371">
        <v>12682</v>
      </c>
      <c r="G239" s="371">
        <v>15461.4</v>
      </c>
      <c r="H239" s="371">
        <v>13580.6</v>
      </c>
      <c r="I239" s="371">
        <v>11727.6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Feb 2019</v>
      </c>
      <c r="E262" s="375" t="s">
        <v>201</v>
      </c>
      <c r="F262" s="375"/>
      <c r="G262" s="375"/>
      <c r="H262" s="375"/>
      <c r="I262" s="125"/>
    </row>
    <row r="263" spans="1:13" ht="13.5" thickBot="1" x14ac:dyDescent="0.25">
      <c r="A263" s="116"/>
      <c r="B263" s="116"/>
      <c r="C263" s="116"/>
      <c r="D263" s="116"/>
      <c r="E263" s="388"/>
      <c r="F263" s="388"/>
      <c r="G263" s="388"/>
      <c r="H263" s="388"/>
      <c r="I263" s="116"/>
    </row>
    <row r="264" spans="1:13" ht="15" x14ac:dyDescent="0.25">
      <c r="A264" s="281"/>
      <c r="B264" s="281"/>
      <c r="C264" s="281"/>
      <c r="D264" s="181"/>
      <c r="E264" s="208"/>
      <c r="F264" s="326"/>
      <c r="G264" s="391" t="s">
        <v>203</v>
      </c>
      <c r="H264" s="391" t="s">
        <v>202</v>
      </c>
      <c r="I264" s="327"/>
    </row>
    <row r="265" spans="1:13" ht="12.75" customHeight="1" x14ac:dyDescent="0.25">
      <c r="A265" s="281"/>
      <c r="B265" s="281"/>
      <c r="C265" s="281"/>
      <c r="D265" s="181"/>
      <c r="E265" s="391" t="s">
        <v>40</v>
      </c>
      <c r="F265" s="396" t="str">
        <f>"Index Close   "&amp;TEXT($H$3,"MMM")&amp;" "&amp;TEXT($H$3,"YYYY")</f>
        <v>Index Close   Feb 2019</v>
      </c>
      <c r="G265" s="391"/>
      <c r="H265" s="391"/>
      <c r="I265" s="398" t="s">
        <v>41</v>
      </c>
    </row>
    <row r="266" spans="1:13" ht="15.75" thickBot="1" x14ac:dyDescent="0.3">
      <c r="A266" s="328"/>
      <c r="B266" s="329"/>
      <c r="C266" s="329"/>
      <c r="D266" s="197"/>
      <c r="E266" s="392"/>
      <c r="F266" s="397"/>
      <c r="G266" s="392"/>
      <c r="H266" s="392"/>
      <c r="I266" s="399"/>
    </row>
    <row r="267" spans="1:13" ht="15" x14ac:dyDescent="0.25">
      <c r="A267" s="330" t="s">
        <v>39</v>
      </c>
      <c r="B267" s="330"/>
      <c r="C267" s="330"/>
      <c r="D267" s="330"/>
      <c r="E267" s="330"/>
      <c r="F267" s="330"/>
      <c r="G267" s="330"/>
      <c r="H267" s="330"/>
      <c r="I267" s="330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56002.082073220001</v>
      </c>
      <c r="G268" s="286">
        <f>IF(IFERROR(VLOOKUP(E268,Data!$O$23:$P$196,2,FALSE),0)=0,0,(F268-IFERROR(VLOOKUP(E268,Data!$O$23:$P$196,2,FALSE),0))/ABS(IFERROR(VLOOKUP(E268,Data!$O$23:$P$196,2,FALSE),0)))</f>
        <v>3.4073926279273872E-2</v>
      </c>
      <c r="H268" s="184">
        <f>VLOOKUP(E268,Data!$B$23:$E$273,3,FALSE)</f>
        <v>61684.771932919997</v>
      </c>
      <c r="I268" s="331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72816.430980520003</v>
      </c>
      <c r="G269" s="286">
        <f>IF(IFERROR(VLOOKUP(E269,Data!$O$23:$P$196,2,FALSE),0)=0,0,(F269-IFERROR(VLOOKUP(E269,Data!$O$23:$P$196,2,FALSE),0))/ABS(IFERROR(VLOOKUP(E269,Data!$O$23:$P$196,2,FALSE),0)))</f>
        <v>2.2761093483505909E-2</v>
      </c>
      <c r="H269" s="184">
        <f>VLOOKUP(E269,Data!$B$23:$E$273,3,FALSE)</f>
        <v>82603.124167989998</v>
      </c>
      <c r="I269" s="331">
        <f>VLOOKUP(E269,Data!$B$23:$E$273,2,FALSE)</f>
        <v>42594</v>
      </c>
      <c r="J269" s="157"/>
      <c r="M269" s="157"/>
    </row>
    <row r="270" spans="1:13" s="161" customFormat="1" ht="14.25" x14ac:dyDescent="0.2">
      <c r="A270" s="304" t="s">
        <v>46</v>
      </c>
      <c r="B270" s="304"/>
      <c r="C270" s="185"/>
      <c r="D270" s="185"/>
      <c r="E270" s="304" t="s">
        <v>47</v>
      </c>
      <c r="F270" s="185">
        <f>IFERROR(VLOOKUP(E270,Data!$G$23:$H$196,2,FALSE),0)</f>
        <v>49353.711452039999</v>
      </c>
      <c r="G270" s="332">
        <f>IF(IFERROR(VLOOKUP(E270,Data!$O$23:$P$196,2,FALSE),0)=0,0,(F270-IFERROR(VLOOKUP(E270,Data!$O$23:$P$196,2,FALSE),0))/ABS(IFERROR(VLOOKUP(E270,Data!$O$23:$P$196,2,FALSE),0)))</f>
        <v>-2.8318857504765083E-2</v>
      </c>
      <c r="H270" s="185">
        <f>VLOOKUP(E270,Data!$B$23:$E$273,3,FALSE)</f>
        <v>65469.71245626</v>
      </c>
      <c r="I270" s="333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6503.58728677</v>
      </c>
      <c r="G271" s="286">
        <f>IF(IFERROR(VLOOKUP(E271,Data!$O$23:$P$196,2,FALSE),0)=0,0,(F271-IFERROR(VLOOKUP(E271,Data!$O$23:$P$196,2,FALSE),0))/ABS(IFERROR(VLOOKUP(E271,Data!$O$23:$P$196,2,FALSE),0)))</f>
        <v>-1.6921053577460817E-2</v>
      </c>
      <c r="H271" s="184">
        <f>VLOOKUP(E271,Data!$B$23:$E$273,3,FALSE)</f>
        <v>8292.5284918300003</v>
      </c>
      <c r="I271" s="331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28096.820250469998</v>
      </c>
      <c r="G272" s="286">
        <f>IF(IFERROR(VLOOKUP(E272,Data!$O$23:$P$196,2,FALSE),0)=0,0,(F272-IFERROR(VLOOKUP(E272,Data!$O$23:$P$196,2,FALSE),0))/ABS(IFERROR(VLOOKUP(E272,Data!$O$23:$P$196,2,FALSE),0)))</f>
        <v>3.3785488098128549E-2</v>
      </c>
      <c r="H272" s="184">
        <f>VLOOKUP(E272,Data!$B$23:$E$273,3,FALSE)</f>
        <v>30767.717573220001</v>
      </c>
      <c r="I272" s="331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11905.330714920001</v>
      </c>
      <c r="G273" s="286">
        <f>IF(IFERROR(VLOOKUP(E273,Data!$O$23:$P$196,2,FALSE),0)=0,0,(F273-IFERROR(VLOOKUP(E273,Data!$O$23:$P$196,2,FALSE),0))/ABS(IFERROR(VLOOKUP(E273,Data!$O$23:$P$196,2,FALSE),0)))</f>
        <v>1.5607567868312447E-2</v>
      </c>
      <c r="H273" s="184">
        <f>VLOOKUP(E273,Data!$B$23:$E$273,3,FALSE)</f>
        <v>13771.555498350001</v>
      </c>
      <c r="I273" s="331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1"/>
    </row>
    <row r="275" spans="1:13" ht="15" x14ac:dyDescent="0.25">
      <c r="A275" s="330" t="s">
        <v>54</v>
      </c>
      <c r="B275" s="330"/>
      <c r="C275" s="330"/>
      <c r="D275" s="330"/>
      <c r="E275" s="330"/>
      <c r="F275" s="330"/>
      <c r="G275" s="330"/>
      <c r="H275" s="330"/>
      <c r="I275" s="330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49667.101477080003</v>
      </c>
      <c r="G276" s="286">
        <f>IF(IFERROR(VLOOKUP(E276,Data!$O$23:$P$196,2,FALSE),0)=0,0,(F276-IFERROR(VLOOKUP(E276,Data!$O$23:$P$196,2,FALSE),0))/ABS(IFERROR(VLOOKUP(E276,Data!$O$23:$P$196,2,FALSE),0)))</f>
        <v>3.5680991481769585E-2</v>
      </c>
      <c r="H276" s="184">
        <f>VLOOKUP(E276,Data!$B$23:$E$273,3,FALSE)</f>
        <v>55065.365928040002</v>
      </c>
      <c r="I276" s="331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25833.7453265</v>
      </c>
      <c r="G277" s="286">
        <f>IF(IFERROR(VLOOKUP(E277,Data!$O$23:$P$196,2,FALSE),0)=0,0,(F277-IFERROR(VLOOKUP(E277,Data!$O$23:$P$196,2,FALSE),0))/ABS(IFERROR(VLOOKUP(E277,Data!$O$23:$P$196,2,FALSE),0)))</f>
        <v>3.3290006410501602E-2</v>
      </c>
      <c r="H277" s="184">
        <f>VLOOKUP(E277,Data!$B$23:$E$273,3,FALSE)</f>
        <v>28107.866765129998</v>
      </c>
      <c r="I277" s="331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10649.98975927</v>
      </c>
      <c r="G278" s="286">
        <f>IF(IFERROR(VLOOKUP(E278,Data!$O$23:$P$196,2,FALSE),0)=0,0,(F278-IFERROR(VLOOKUP(E278,Data!$O$23:$P$196,2,FALSE),0))/ABS(IFERROR(VLOOKUP(E278,Data!$O$23:$P$196,2,FALSE),0)))</f>
        <v>1.3030102894656425E-2</v>
      </c>
      <c r="H278" s="184">
        <f>VLOOKUP(E278,Data!$B$23:$E$273,3,FALSE)</f>
        <v>12491.5886923</v>
      </c>
      <c r="I278" s="331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45544.518721690001</v>
      </c>
      <c r="G279" s="286">
        <f>IF(IFERROR(VLOOKUP(E279,Data!$O$23:$P$196,2,FALSE),0)=0,0,(F279-IFERROR(VLOOKUP(E279,Data!$O$23:$P$196,2,FALSE),0))/ABS(IFERROR(VLOOKUP(E279,Data!$O$23:$P$196,2,FALSE),0)))</f>
        <v>8.0403953378947984E-2</v>
      </c>
      <c r="H279" s="184">
        <f>VLOOKUP(E279,Data!$B$23:$E$273,3,FALSE)</f>
        <v>77308.45</v>
      </c>
      <c r="I279" s="331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1629.02088794</v>
      </c>
      <c r="G280" s="286">
        <f>IF(IFERROR(VLOOKUP(E280,Data!$O$23:$P$196,2,FALSE),0)=0,0,(F280-IFERROR(VLOOKUP(E280,Data!$O$23:$P$196,2,FALSE),0))/ABS(IFERROR(VLOOKUP(E280,Data!$O$23:$P$196,2,FALSE),0)))</f>
        <v>0.11559213963933826</v>
      </c>
      <c r="H280" s="184">
        <f>VLOOKUP(E280,Data!$B$23:$E$273,3,FALSE)</f>
        <v>3456.48</v>
      </c>
      <c r="I280" s="331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66860.160753599994</v>
      </c>
      <c r="G281" s="286">
        <f>IF(IFERROR(VLOOKUP(E281,Data!$O$23:$P$196,2,FALSE),0)=0,0,(F281-IFERROR(VLOOKUP(E281,Data!$O$23:$P$196,2,FALSE),0))/ABS(IFERROR(VLOOKUP(E281,Data!$O$23:$P$196,2,FALSE),0)))</f>
        <v>4.1023372974995795E-2</v>
      </c>
      <c r="H281" s="184">
        <f>VLOOKUP(E281,Data!$B$23:$E$273,3,FALSE)</f>
        <v>87017.951262529998</v>
      </c>
      <c r="I281" s="331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17126.692211279998</v>
      </c>
      <c r="G282" s="286">
        <f>IF(IFERROR(VLOOKUP(E282,Data!$O$23:$P$196,2,FALSE),0)=0,0,(F282-IFERROR(VLOOKUP(E282,Data!$O$23:$P$196,2,FALSE),0))/ABS(IFERROR(VLOOKUP(E282,Data!$O$23:$P$196,2,FALSE),0)))</f>
        <v>-2.0560265860018336E-2</v>
      </c>
      <c r="H282" s="184">
        <f>VLOOKUP(E282,Data!$B$23:$E$273,3,FALSE)</f>
        <v>18847.577311370002</v>
      </c>
      <c r="I282" s="331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73393.968675209995</v>
      </c>
      <c r="G283" s="286">
        <f>IF(IFERROR(VLOOKUP(E283,Data!$O$23:$P$196,2,FALSE),0)=0,0,(F283-IFERROR(VLOOKUP(E283,Data!$O$23:$P$196,2,FALSE),0))/ABS(IFERROR(VLOOKUP(E283,Data!$O$23:$P$196,2,FALSE),0)))</f>
        <v>2.1132308688070509E-2</v>
      </c>
      <c r="H283" s="184">
        <f>VLOOKUP(E283,Data!$B$23:$E$273,3,FALSE)</f>
        <v>88373.331097460003</v>
      </c>
      <c r="I283" s="331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1"/>
    </row>
    <row r="285" spans="1:13" ht="15" x14ac:dyDescent="0.25">
      <c r="A285" s="330" t="s">
        <v>70</v>
      </c>
      <c r="B285" s="330"/>
      <c r="C285" s="330"/>
      <c r="D285" s="330"/>
      <c r="E285" s="330"/>
      <c r="F285" s="330"/>
      <c r="G285" s="330"/>
      <c r="H285" s="330"/>
      <c r="I285" s="330"/>
    </row>
    <row r="286" spans="1:13" s="161" customFormat="1" ht="14.25" x14ac:dyDescent="0.2">
      <c r="A286" s="304" t="s">
        <v>71</v>
      </c>
      <c r="B286" s="304"/>
      <c r="C286" s="185"/>
      <c r="D286" s="185"/>
      <c r="E286" s="304" t="s">
        <v>72</v>
      </c>
      <c r="F286" s="185">
        <f>IFERROR(VLOOKUP(E286,Data!$G$23:$H$196,2,FALSE),0)</f>
        <v>8063.3269042499996</v>
      </c>
      <c r="G286" s="332">
        <f>IF(IFERROR(VLOOKUP(E286,Data!$O$23:$P$196,2,FALSE),0)=0,0,(F286-IFERROR(VLOOKUP(E286,Data!$O$23:$P$196,2,FALSE),0))/ABS(IFERROR(VLOOKUP(E286,Data!$O$23:$P$196,2,FALSE),0)))</f>
        <v>-0.16297731045911662</v>
      </c>
      <c r="H286" s="185">
        <f>VLOOKUP(E286,Data!$B$23:$E$273,3,FALSE)</f>
        <v>24943.07</v>
      </c>
      <c r="I286" s="333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32405.057842419999</v>
      </c>
      <c r="G287" s="286">
        <f>IF(IFERROR(VLOOKUP(E287,Data!$O$23:$P$196,2,FALSE),0)=0,0,(F287-IFERROR(VLOOKUP(E287,Data!$O$23:$P$196,2,FALSE),0))/ABS(IFERROR(VLOOKUP(E287,Data!$O$23:$P$196,2,FALSE),0)))</f>
        <v>9.1227316355507765E-2</v>
      </c>
      <c r="H287" s="184">
        <f>VLOOKUP(E287,Data!$B$23:$E$273,3,FALSE)</f>
        <v>42763.39</v>
      </c>
      <c r="I287" s="331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44912.826536809996</v>
      </c>
      <c r="G288" s="286">
        <f>IF(IFERROR(VLOOKUP(E288,Data!$O$23:$P$196,2,FALSE),0)=0,0,(F288-IFERROR(VLOOKUP(E288,Data!$O$23:$P$196,2,FALSE),0))/ABS(IFERROR(VLOOKUP(E288,Data!$O$23:$P$196,2,FALSE),0)))</f>
        <v>-2.3805968781113986E-2</v>
      </c>
      <c r="H288" s="184">
        <f>VLOOKUP(E288,Data!$B$23:$E$273,3,FALSE)</f>
        <v>57747.257279739999</v>
      </c>
      <c r="I288" s="331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55627.34615089</v>
      </c>
      <c r="G289" s="286">
        <f>IF(IFERROR(VLOOKUP(E289,Data!$O$23:$P$196,2,FALSE),0)=0,0,(F289-IFERROR(VLOOKUP(E289,Data!$O$23:$P$196,2,FALSE),0))/ABS(IFERROR(VLOOKUP(E289,Data!$O$23:$P$196,2,FALSE),0)))</f>
        <v>0.12632388031453451</v>
      </c>
      <c r="H289" s="184">
        <f>VLOOKUP(E289,Data!$B$23:$E$273,3,FALSE)</f>
        <v>84330.008150740003</v>
      </c>
      <c r="I289" s="331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22878.32707313</v>
      </c>
      <c r="G290" s="286">
        <f>IF(IFERROR(VLOOKUP(E290,Data!$O$23:$P$196,2,FALSE),0)=0,0,(F290-IFERROR(VLOOKUP(E290,Data!$O$23:$P$196,2,FALSE),0))/ABS(IFERROR(VLOOKUP(E290,Data!$O$23:$P$196,2,FALSE),0)))</f>
        <v>2.2188156113147652E-2</v>
      </c>
      <c r="H290" s="184">
        <f>VLOOKUP(E290,Data!$B$23:$E$273,3,FALSE)</f>
        <v>35813.949999999997</v>
      </c>
      <c r="I290" s="331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42839.36650263</v>
      </c>
      <c r="G291" s="286">
        <f>IF(IFERROR(VLOOKUP(E291,Data!$O$23:$P$196,2,FALSE),0)=0,0,(F291-IFERROR(VLOOKUP(E291,Data!$O$23:$P$196,2,FALSE),0))/ABS(IFERROR(VLOOKUP(E291,Data!$O$23:$P$196,2,FALSE),0)))</f>
        <v>-2.1015347687502583E-2</v>
      </c>
      <c r="H291" s="184">
        <f>VLOOKUP(E291,Data!$B$23:$E$273,3,FALSE)</f>
        <v>48467.669364840003</v>
      </c>
      <c r="I291" s="331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27460.621325579999</v>
      </c>
      <c r="G292" s="286">
        <f>IF(IFERROR(VLOOKUP(E292,Data!$O$23:$P$196,2,FALSE),0)=0,0,(F292-IFERROR(VLOOKUP(E292,Data!$O$23:$P$196,2,FALSE),0))/ABS(IFERROR(VLOOKUP(E292,Data!$O$23:$P$196,2,FALSE),0)))</f>
        <v>-4.5336894117632955E-2</v>
      </c>
      <c r="H292" s="184">
        <f>VLOOKUP(E292,Data!$B$23:$E$273,3,FALSE)</f>
        <v>71088.506129760004</v>
      </c>
      <c r="I292" s="331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4889.3916475100004</v>
      </c>
      <c r="G293" s="286">
        <f>IF(IFERROR(VLOOKUP(E293,Data!$O$23:$P$196,2,FALSE),0)=0,0,(F293-IFERROR(VLOOKUP(E293,Data!$O$23:$P$196,2,FALSE),0))/ABS(IFERROR(VLOOKUP(E293,Data!$O$23:$P$196,2,FALSE),0)))</f>
        <v>-3.2176943446503153E-2</v>
      </c>
      <c r="H293" s="184">
        <f>VLOOKUP(E293,Data!$B$23:$E$273,3,FALSE)</f>
        <v>65291.38</v>
      </c>
      <c r="I293" s="331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4940.4821277800002</v>
      </c>
      <c r="G294" s="286">
        <f>IF(IFERROR(VLOOKUP(E294,Data!$O$23:$P$196,2,FALSE),0)=0,0,(F294-IFERROR(VLOOKUP(E294,Data!$O$23:$P$196,2,FALSE),0))/ABS(IFERROR(VLOOKUP(E294,Data!$O$23:$P$196,2,FALSE),0)))</f>
        <v>1.1134556534028127E-3</v>
      </c>
      <c r="H294" s="184">
        <f>VLOOKUP(E294,Data!$B$23:$E$273,3,FALSE)</f>
        <v>95446.135778840006</v>
      </c>
      <c r="I294" s="331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1"/>
    </row>
    <row r="296" spans="1:9" ht="15" x14ac:dyDescent="0.25">
      <c r="A296" s="330" t="s">
        <v>89</v>
      </c>
      <c r="B296" s="330"/>
      <c r="C296" s="330"/>
      <c r="D296" s="330"/>
      <c r="E296" s="330"/>
      <c r="F296" s="330"/>
      <c r="G296" s="330"/>
      <c r="H296" s="330"/>
      <c r="I296" s="330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1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3611.3655727400001</v>
      </c>
      <c r="G298" s="286">
        <f>IF(IFERROR(VLOOKUP(E298,Data!$O$23:$P$196,2,FALSE),0)=0,0,(F298-IFERROR(VLOOKUP(E298,Data!$O$23:$P$196,2,FALSE),0))/ABS(IFERROR(VLOOKUP(E298,Data!$O$23:$P$196,2,FALSE),0)))</f>
        <v>5.2121503009398738E-2</v>
      </c>
      <c r="H298" s="184">
        <f>VLOOKUP(E298,Data!$B$23:$E$273,3,FALSE)</f>
        <v>4599.9677435399999</v>
      </c>
      <c r="I298" s="331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673.18426212999998</v>
      </c>
      <c r="G299" s="286">
        <f>IF(IFERROR(VLOOKUP(E299,Data!$O$23:$P$196,2,FALSE),0)=0,0,(F299-IFERROR(VLOOKUP(E299,Data!$O$23:$P$196,2,FALSE),0))/ABS(IFERROR(VLOOKUP(E299,Data!$O$23:$P$196,2,FALSE),0)))</f>
        <v>-5.5329504559652333E-2</v>
      </c>
      <c r="H299" s="184">
        <f>VLOOKUP(E299,Data!$B$23:$E$273,3,FALSE)</f>
        <v>1035.8389392900001</v>
      </c>
      <c r="I299" s="331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492.27280890999998</v>
      </c>
      <c r="G300" s="286">
        <f>IF(IFERROR(VLOOKUP(E300,Data!$O$23:$P$196,2,FALSE),0)=0,0,(F300-IFERROR(VLOOKUP(E300,Data!$O$23:$P$196,2,FALSE),0))/ABS(IFERROR(VLOOKUP(E300,Data!$O$23:$P$196,2,FALSE),0)))</f>
        <v>-5.6968923787324315E-2</v>
      </c>
      <c r="H300" s="184">
        <f>VLOOKUP(E300,Data!$B$23:$E$273,3,FALSE)</f>
        <v>694.66658584000004</v>
      </c>
      <c r="I300" s="331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392.41914176</v>
      </c>
      <c r="G301" s="286">
        <f>IF(IFERROR(VLOOKUP(E301,Data!$O$23:$P$196,2,FALSE),0)=0,0,(F301-IFERROR(VLOOKUP(E301,Data!$O$23:$P$196,2,FALSE),0))/ABS(IFERROR(VLOOKUP(E301,Data!$O$23:$P$196,2,FALSE),0)))</f>
        <v>-4.2400355011120265E-2</v>
      </c>
      <c r="H301" s="184">
        <f>VLOOKUP(E301,Data!$B$23:$E$273,3,FALSE)</f>
        <v>597.8558587</v>
      </c>
      <c r="I301" s="331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25847.32730434</v>
      </c>
      <c r="G302" s="286">
        <f>IF(IFERROR(VLOOKUP(E302,Data!$O$23:$P$196,2,FALSE),0)=0,0,(F302-IFERROR(VLOOKUP(E302,Data!$O$23:$P$196,2,FALSE),0))/ABS(IFERROR(VLOOKUP(E302,Data!$O$23:$P$196,2,FALSE),0)))</f>
        <v>9.0550559361196201E-2</v>
      </c>
      <c r="H302" s="184">
        <f>VLOOKUP(E302,Data!$B$23:$E$273,3,FALSE)</f>
        <v>42495.61</v>
      </c>
      <c r="I302" s="331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378.02473234000001</v>
      </c>
      <c r="G303" s="286">
        <f>IF(IFERROR(VLOOKUP(E303,Data!$O$23:$P$196,2,FALSE),0)=0,0,(F303-IFERROR(VLOOKUP(E303,Data!$O$23:$P$196,2,FALSE),0))/ABS(IFERROR(VLOOKUP(E303,Data!$O$23:$P$196,2,FALSE),0)))</f>
        <v>4.0966488064371101E-2</v>
      </c>
      <c r="H303" s="184">
        <f>VLOOKUP(E303,Data!$B$23:$E$273,3,FALSE)</f>
        <v>431.46959335999998</v>
      </c>
      <c r="I303" s="331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641.39872944000001</v>
      </c>
      <c r="G304" s="286">
        <f>IF(IFERROR(VLOOKUP(E304,Data!$O$23:$P$196,2,FALSE),0)=0,0,(F304-IFERROR(VLOOKUP(E304,Data!$O$23:$P$196,2,FALSE),0))/ABS(IFERROR(VLOOKUP(E304,Data!$O$23:$P$196,2,FALSE),0)))</f>
        <v>2.6655839553436818E-2</v>
      </c>
      <c r="H304" s="184">
        <f>VLOOKUP(E304,Data!$B$23:$E$273,3,FALSE)</f>
        <v>738.92755879000003</v>
      </c>
      <c r="I304" s="331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1"/>
    </row>
    <row r="306" spans="1:9" ht="15" x14ac:dyDescent="0.25">
      <c r="A306" s="330" t="s">
        <v>104</v>
      </c>
      <c r="B306" s="330"/>
      <c r="C306" s="330"/>
      <c r="D306" s="330"/>
      <c r="E306" s="330"/>
      <c r="F306" s="330"/>
      <c r="G306" s="330"/>
      <c r="H306" s="330"/>
      <c r="I306" s="330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32.424154309999999</v>
      </c>
      <c r="G307" s="286">
        <f>IF(IFERROR(VLOOKUP(E307,Data!$O$23:$P$196,2,FALSE),0)=0,0,(F307-IFERROR(VLOOKUP(E307,Data!$O$23:$P$196,2,FALSE),0))/ABS(IFERROR(VLOOKUP(E307,Data!$O$23:$P$196,2,FALSE),0)))</f>
        <v>0.30208555247913149</v>
      </c>
      <c r="H307" s="184">
        <f>VLOOKUP(E307,Data!$B$23:$E$273,3,FALSE)</f>
        <v>146.47999999999999</v>
      </c>
      <c r="I307" s="331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11434.04123038</v>
      </c>
      <c r="G308" s="286">
        <f>IF(IFERROR(VLOOKUP(E308,Data!$O$23:$P$196,2,FALSE),0)=0,0,(F308-IFERROR(VLOOKUP(E308,Data!$O$23:$P$196,2,FALSE),0))/ABS(IFERROR(VLOOKUP(E308,Data!$O$23:$P$196,2,FALSE),0)))</f>
        <v>9.9269801990878065E-2</v>
      </c>
      <c r="H308" s="184">
        <f>VLOOKUP(E308,Data!$B$23:$E$273,3,FALSE)</f>
        <v>12608.67</v>
      </c>
      <c r="I308" s="331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1"/>
    </row>
    <row r="310" spans="1:9" ht="15" x14ac:dyDescent="0.25">
      <c r="A310" s="330" t="s">
        <v>109</v>
      </c>
      <c r="B310" s="330"/>
      <c r="C310" s="330"/>
      <c r="D310" s="330"/>
      <c r="E310" s="330"/>
      <c r="F310" s="330"/>
      <c r="G310" s="330"/>
      <c r="H310" s="330"/>
      <c r="I310" s="330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1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1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893.41392780000001</v>
      </c>
      <c r="G313" s="286">
        <f>IF(IFERROR(VLOOKUP(E313,Data!$O$23:$P$196,2,FALSE),0)=0,0,(F313-IFERROR(VLOOKUP(E313,Data!$O$23:$P$196,2,FALSE),0))/ABS(IFERROR(VLOOKUP(E313,Data!$O$23:$P$196,2,FALSE),0)))</f>
        <v>-1.1186744446824055E-2</v>
      </c>
      <c r="H313" s="184">
        <f>VLOOKUP(E313,Data!$B$23:$E$273,3,FALSE)</f>
        <v>5041.9399999999996</v>
      </c>
      <c r="I313" s="331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4"/>
      <c r="G314" s="289"/>
      <c r="H314" s="289"/>
      <c r="I314" s="289"/>
    </row>
    <row r="315" spans="1:9" ht="13.5" thickTop="1" x14ac:dyDescent="0.2">
      <c r="A315" s="363" t="s">
        <v>533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Feb 2019</v>
      </c>
      <c r="E347" s="375" t="s">
        <v>204</v>
      </c>
      <c r="F347" s="375"/>
      <c r="G347" s="375"/>
      <c r="H347" s="375"/>
      <c r="I347" s="125"/>
    </row>
    <row r="348" spans="1:9" ht="13.5" thickBot="1" x14ac:dyDescent="0.25">
      <c r="A348" s="116"/>
      <c r="B348" s="116"/>
      <c r="C348" s="116"/>
      <c r="D348" s="116"/>
      <c r="E348" s="388"/>
      <c r="F348" s="388"/>
      <c r="G348" s="388"/>
      <c r="H348" s="388"/>
      <c r="I348" s="116"/>
    </row>
    <row r="349" spans="1:9" ht="15" x14ac:dyDescent="0.25">
      <c r="A349" s="281"/>
      <c r="B349" s="335"/>
      <c r="C349" s="281"/>
      <c r="D349" s="380" t="str">
        <f>TEXT(DATE(2000,TEXT(H3,"M")-1,1),"mmm")&amp; " "&amp; TEXT(H3,"YYYY")</f>
        <v>Jan 2019</v>
      </c>
      <c r="E349" s="380"/>
      <c r="F349" s="280" t="s">
        <v>27</v>
      </c>
      <c r="G349" s="309"/>
      <c r="H349" s="281"/>
      <c r="I349" s="280" t="s">
        <v>27</v>
      </c>
    </row>
    <row r="350" spans="1:9" ht="15" x14ac:dyDescent="0.25">
      <c r="A350" s="281"/>
      <c r="B350" s="335"/>
      <c r="C350" s="281"/>
      <c r="D350" s="381"/>
      <c r="E350" s="381"/>
      <c r="F350" s="280" t="s">
        <v>38</v>
      </c>
      <c r="G350" s="309"/>
      <c r="H350" s="281"/>
      <c r="I350" s="280" t="s">
        <v>147</v>
      </c>
    </row>
    <row r="351" spans="1:9" ht="15.75" thickBot="1" x14ac:dyDescent="0.3">
      <c r="A351" s="294"/>
      <c r="B351" s="336"/>
      <c r="C351" s="336" t="str">
        <f>TEXT($H$3,"MMM")&amp;" "&amp;TEXT($H$3,"YYYY")</f>
        <v>Feb 2019</v>
      </c>
      <c r="D351" s="382"/>
      <c r="E351" s="382"/>
      <c r="F351" s="284" t="s">
        <v>1</v>
      </c>
      <c r="G351" s="328"/>
      <c r="H351" s="336" t="str">
        <f>TEXT($H$3,"MMM")&amp;" "&amp;TEXT($H$3,"YYYY")-1</f>
        <v>Feb 2018</v>
      </c>
      <c r="I351" s="284" t="s">
        <v>28</v>
      </c>
    </row>
    <row r="352" spans="1:9" ht="15" x14ac:dyDescent="0.25">
      <c r="A352" s="330" t="s">
        <v>117</v>
      </c>
      <c r="B352" s="330"/>
      <c r="C352" s="330"/>
      <c r="D352" s="330"/>
      <c r="E352" s="330"/>
      <c r="F352" s="330"/>
      <c r="G352" s="330"/>
      <c r="H352" s="330"/>
      <c r="I352" s="330"/>
    </row>
    <row r="353" spans="1:9" ht="14.25" x14ac:dyDescent="0.2">
      <c r="A353" s="337" t="s">
        <v>14</v>
      </c>
      <c r="B353" s="248"/>
      <c r="C353" s="248"/>
      <c r="D353" s="378"/>
      <c r="E353" s="378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235898</v>
      </c>
      <c r="D354" s="378">
        <f>SUMIFS(Data!$V$33:$V$48,Data!$S$33:$S$48,MarketProfile!A354,Data!$X$33:$X$48,"1")</f>
        <v>261519</v>
      </c>
      <c r="E354" s="378"/>
      <c r="F354" s="286">
        <f>IFERROR(IF(OR(AND(D354="",C354=""),AND(D354=0,C354=0)),"",
IF(OR(D354="",D354=0),1,
IF(OR(D354&lt;&gt;"",D354&lt;&gt;0),(C354-D354)/ABS(D354)))),-1)</f>
        <v>-9.7969937174736829E-2</v>
      </c>
      <c r="G354" s="378">
        <f>SUMIFS(Data!$V$63:$V$78,Data!$S$63:$S$78,MarketProfile!A354,Data!$X$63:$X$78,"1")</f>
        <v>290201</v>
      </c>
      <c r="H354" s="378"/>
      <c r="I354" s="286">
        <f t="shared" ref="I354:I367" si="22">IFERROR(IF(OR(AND(G354="",C354=""),AND(G354=0,C354=0)),"",
IF(OR(G354="",G354=0),1,
IF(OR(G354&lt;&gt;"",G354&lt;&gt;0),(C354-G354)/ABS(G354)))),-1)</f>
        <v>-0.18712202921423426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4378</v>
      </c>
      <c r="D355" s="378">
        <f>SUMIFS(Data!$V$33:$V$48,Data!$S$33:$S$48,MarketProfile!A355,Data!$X$33:$X$48,"1")</f>
        <v>4431</v>
      </c>
      <c r="E355" s="378"/>
      <c r="F355" s="286">
        <f t="shared" ref="F355:F361" si="23">IFERROR(IF(OR(AND(D355="",C355=""),AND(D355=0,C355=0)),"",
IF(OR(D355="",D355=0),1,
IF(OR(D355&lt;&gt;"",D355&lt;&gt;0),(C355-D355)/ABS(D355)))),-1)</f>
        <v>-1.1961182577296321E-2</v>
      </c>
      <c r="G355" s="378">
        <f>SUMIFS(Data!$V$63:$V$78,Data!$S$63:$S$78,MarketProfile!A355,Data!$X$63:$X$78,"1")</f>
        <v>4245</v>
      </c>
      <c r="H355" s="378"/>
      <c r="I355" s="286">
        <f t="shared" si="22"/>
        <v>3.1330977620730269E-2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4206</v>
      </c>
      <c r="D356" s="378">
        <f>SUMIFS(Data!$V$33:$V$48,Data!$S$33:$S$48,MarketProfile!A356,Data!$X$33:$X$48,"1")</f>
        <v>4312</v>
      </c>
      <c r="E356" s="378"/>
      <c r="F356" s="286">
        <f t="shared" si="23"/>
        <v>-2.4582560296846009E-2</v>
      </c>
      <c r="G356" s="378">
        <f>SUMIFS(Data!$V$63:$V$78,Data!$S$63:$S$78,MarketProfile!A356,Data!$X$63:$X$78,"1")</f>
        <v>4016</v>
      </c>
      <c r="H356" s="378"/>
      <c r="I356" s="286">
        <f t="shared" si="22"/>
        <v>4.7310756972111553E-2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210</v>
      </c>
      <c r="D357" s="378">
        <f>SUMIFS(Data!$V$33:$V$48,Data!$S$33:$S$48,MarketProfile!A357,Data!$X$33:$X$48,"1")</f>
        <v>150</v>
      </c>
      <c r="E357" s="378"/>
      <c r="F357" s="286">
        <f t="shared" si="23"/>
        <v>0.4</v>
      </c>
      <c r="G357" s="378">
        <f>SUMIFS(Data!$V$63:$V$78,Data!$S$63:$S$78,MarketProfile!A357,Data!$X$63:$X$78,"1")</f>
        <v>264</v>
      </c>
      <c r="H357" s="378"/>
      <c r="I357" s="286">
        <f t="shared" si="22"/>
        <v>-0.20454545454545456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44</v>
      </c>
      <c r="D358" s="378">
        <f>SUMIFS(Data!$V$33:$V$48,Data!$S$33:$S$48,MarketProfile!A358,Data!$X$33:$X$48,"1")</f>
        <v>60</v>
      </c>
      <c r="E358" s="378"/>
      <c r="F358" s="286">
        <f t="shared" si="23"/>
        <v>-0.26666666666666666</v>
      </c>
      <c r="G358" s="378">
        <f>SUMIFS(Data!$V$63:$V$78,Data!$S$63:$S$78,MarketProfile!A358,Data!$X$63:$X$78,"1")</f>
        <v>185</v>
      </c>
      <c r="H358" s="378"/>
      <c r="I358" s="286">
        <f t="shared" si="22"/>
        <v>-0.76216216216216215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42</v>
      </c>
      <c r="D359" s="378">
        <f>SUMIFS(Data!$V$33:$V$48,Data!$S$33:$S$48,MarketProfile!A359,Data!$X$33:$X$48,"1")</f>
        <v>59</v>
      </c>
      <c r="E359" s="378"/>
      <c r="F359" s="286">
        <f t="shared" si="23"/>
        <v>-0.28813559322033899</v>
      </c>
      <c r="G359" s="378">
        <f>SUMIFS(Data!$V$63:$V$78,Data!$S$63:$S$78,MarketProfile!A359,Data!$X$63:$X$78,"1")</f>
        <v>164</v>
      </c>
      <c r="H359" s="378"/>
      <c r="I359" s="286">
        <f t="shared" si="22"/>
        <v>-0.74390243902439024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118</v>
      </c>
      <c r="D360" s="378">
        <f>SUMIFS(Data!$V$33:$V$48,Data!$S$33:$S$48,MarketProfile!A360,Data!$X$33:$X$48,"1")</f>
        <v>137</v>
      </c>
      <c r="E360" s="378"/>
      <c r="F360" s="286">
        <f t="shared" si="23"/>
        <v>-0.13868613138686131</v>
      </c>
      <c r="G360" s="378">
        <f>SUMIFS(Data!$V$63:$V$78,Data!$S$63:$S$78,MarketProfile!A360,Data!$X$63:$X$78,"1")</f>
        <v>85</v>
      </c>
      <c r="H360" s="378"/>
      <c r="I360" s="286">
        <f t="shared" si="22"/>
        <v>0.38823529411764707</v>
      </c>
    </row>
    <row r="361" spans="1:9" ht="15" x14ac:dyDescent="0.25">
      <c r="A361" s="288" t="s">
        <v>133</v>
      </c>
      <c r="B361" s="250"/>
      <c r="C361" s="250">
        <f>SUM(C354:C360)</f>
        <v>244896</v>
      </c>
      <c r="D361" s="379">
        <f>SUM(D354:E360)</f>
        <v>270668</v>
      </c>
      <c r="E361" s="379"/>
      <c r="F361" s="324">
        <f t="shared" si="23"/>
        <v>-9.5216279722759992E-2</v>
      </c>
      <c r="G361" s="379">
        <f>SUM(G354:H360)</f>
        <v>299160</v>
      </c>
      <c r="H361" s="379">
        <v>228310</v>
      </c>
      <c r="I361" s="324">
        <f t="shared" si="22"/>
        <v>-0.18138788608102688</v>
      </c>
    </row>
    <row r="362" spans="1:9" ht="14.25" x14ac:dyDescent="0.2">
      <c r="A362" s="248"/>
      <c r="B362" s="249"/>
      <c r="C362" s="249"/>
      <c r="D362" s="378"/>
      <c r="E362" s="378"/>
      <c r="F362" s="286"/>
      <c r="G362" s="248"/>
      <c r="H362" s="249"/>
      <c r="I362" s="286" t="str">
        <f t="shared" si="22"/>
        <v/>
      </c>
    </row>
    <row r="363" spans="1:9" ht="15" x14ac:dyDescent="0.25">
      <c r="A363" s="337" t="s">
        <v>206</v>
      </c>
      <c r="B363" s="250"/>
      <c r="C363" s="250"/>
      <c r="D363" s="378"/>
      <c r="E363" s="378"/>
      <c r="F363" s="286"/>
      <c r="G363" s="248"/>
      <c r="H363" s="250"/>
      <c r="I363" s="324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441</v>
      </c>
      <c r="D364" s="378">
        <f>SUMIFS(Data!$V$33:$V$48,Data!$S$33:$S$48,MarketProfile!A364,Data!$X$33:$X$48,"0")</f>
        <v>636</v>
      </c>
      <c r="E364" s="378"/>
      <c r="F364" s="286">
        <f t="shared" ref="F364:F368" si="24">IFERROR(IF(OR(AND(D364="",C364=""),AND(D364=0,C364=0)),"",
IF(OR(D364="",D364=0),1,
IF(OR(D364&lt;&gt;"",D364&lt;&gt;0),(C364-D364)/ABS(D364)))),-1)</f>
        <v>-0.30660377358490565</v>
      </c>
      <c r="G364" s="378">
        <f>SUMIFS(Data!$V$63:$V$78,Data!$S$63:$S$78,MarketProfile!A364,Data!$X$63:$X$78,"0")</f>
        <v>547</v>
      </c>
      <c r="H364" s="378"/>
      <c r="I364" s="286">
        <f t="shared" si="22"/>
        <v>-0.19378427787934185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646</v>
      </c>
      <c r="D365" s="378">
        <f>SUMIFS(Data!$V$33:$V$48,Data!$S$33:$S$48,MarketProfile!A365,Data!$X$33:$X$48,"0")</f>
        <v>644</v>
      </c>
      <c r="E365" s="378"/>
      <c r="F365" s="286">
        <f t="shared" si="24"/>
        <v>3.105590062111801E-3</v>
      </c>
      <c r="G365" s="378">
        <f>SUMIFS(Data!$V$63:$V$78,Data!$S$63:$S$78,MarketProfile!A365,Data!$X$63:$X$78,"0")</f>
        <v>506</v>
      </c>
      <c r="H365" s="378"/>
      <c r="I365" s="286">
        <f t="shared" si="22"/>
        <v>0.27667984189723321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59</v>
      </c>
      <c r="D366" s="378">
        <f>SUMIFS(Data!$V$33:$V$48,Data!$S$33:$S$48,MarketProfile!A366,Data!$X$33:$X$48,"0")</f>
        <v>23</v>
      </c>
      <c r="E366" s="378"/>
      <c r="F366" s="286">
        <f t="shared" si="24"/>
        <v>1.5652173913043479</v>
      </c>
      <c r="G366" s="378">
        <f>SUMIFS(Data!$V$63:$V$78,Data!$S$63:$S$78,MarketProfile!A366,Data!$X$63:$X$78,"0")</f>
        <v>33</v>
      </c>
      <c r="H366" s="378"/>
      <c r="I366" s="286">
        <f t="shared" si="22"/>
        <v>0.78787878787878785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78">
        <f>SUMIFS(Data!$V$33:$V$48,Data!$S$33:$S$48,MarketProfile!A367,Data!$X$33:$X$48,"0")</f>
        <v>0</v>
      </c>
      <c r="E367" s="378"/>
      <c r="F367" s="286" t="str">
        <f t="shared" si="24"/>
        <v/>
      </c>
      <c r="G367" s="378">
        <f>SUMIFS(Data!$V$63:$V$78,Data!$S$63:$S$78,MarketProfile!A367,Data!$X$63:$X$78,"0")</f>
        <v>0</v>
      </c>
      <c r="H367" s="378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1146</v>
      </c>
      <c r="D368" s="379">
        <f t="shared" ref="D368:E368" si="25">SUM(D364:D367)</f>
        <v>1303</v>
      </c>
      <c r="E368" s="379">
        <f t="shared" si="25"/>
        <v>0</v>
      </c>
      <c r="F368" s="324">
        <f t="shared" si="24"/>
        <v>-0.1204911742133538</v>
      </c>
      <c r="G368" s="379">
        <f>SUM(G364:H367)</f>
        <v>1086</v>
      </c>
      <c r="H368" s="379">
        <v>1646</v>
      </c>
      <c r="I368" s="324">
        <f>IFERROR(IF(OR(AND(G368="",C368=""),AND(G368=0,C368=0)),"",
IF(OR(G368="",G368=0),1,
IF(OR(G368&lt;&gt;"",G368&lt;&gt;0),(C368-G368)/ABS(G368)))),-1)</f>
        <v>5.5248618784530384E-2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0" t="s">
        <v>207</v>
      </c>
      <c r="B370" s="330"/>
      <c r="C370" s="330"/>
      <c r="D370" s="330"/>
      <c r="E370" s="330"/>
      <c r="F370" s="338"/>
      <c r="G370" s="330"/>
      <c r="H370" s="330"/>
      <c r="I370" s="338"/>
    </row>
    <row r="371" spans="1:9" ht="14.25" x14ac:dyDescent="0.2">
      <c r="A371" s="337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800027</v>
      </c>
      <c r="D372" s="378">
        <f>SUMIFS(Data!$U$33:$U$48,Data!$S$33:$S$48,MarketProfile!A372,Data!$X$33:$X$48,"1")</f>
        <v>859162</v>
      </c>
      <c r="E372" s="378"/>
      <c r="F372" s="286">
        <f t="shared" ref="F372:F379" si="26">IFERROR(IF(OR(AND(D372="",C372=""),AND(D372=0,C372=0)),"",
IF(OR(D372="",D372=0),1,
IF(OR(D372&lt;&gt;"",D372&lt;&gt;0),(C372-D372)/ABS(D372)))),-1)</f>
        <v>-6.8828695868765152E-2</v>
      </c>
      <c r="G372" s="378">
        <f>SUMIFS(Data!$U$63:$U$78,Data!$S$63:$S$78,MarketProfile!A372,Data!$X$63:$X$78,"1")</f>
        <v>1103538</v>
      </c>
      <c r="H372" s="378"/>
      <c r="I372" s="286">
        <f t="shared" ref="I372:I379" si="27">IFERROR(IF(OR(AND(G372="",C372=""),AND(G372=0,C372=0)),"",
IF(OR(G372="",G372=0),1,
IF(OR(G372&lt;&gt;"",G372&lt;&gt;0),(C372-G372)/ABS(G372)))),-1)</f>
        <v>-0.27503448000884428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615005</v>
      </c>
      <c r="D373" s="378">
        <f>SUMIFS(Data!$U$33:$U$48,Data!$S$33:$S$48,MarketProfile!A373,Data!$X$33:$X$48,"1")</f>
        <v>342805</v>
      </c>
      <c r="E373" s="378"/>
      <c r="F373" s="286">
        <f t="shared" si="26"/>
        <v>0.79403742652528408</v>
      </c>
      <c r="G373" s="378">
        <f>SUMIFS(Data!$U$63:$U$78,Data!$S$63:$S$78,MarketProfile!A373,Data!$X$63:$X$78,"1")</f>
        <v>402553</v>
      </c>
      <c r="H373" s="378"/>
      <c r="I373" s="286">
        <f t="shared" si="27"/>
        <v>0.52776156183160972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210596</v>
      </c>
      <c r="D374" s="378">
        <f>SUMIFS(Data!$U$33:$U$48,Data!$S$33:$S$48,MarketProfile!A374,Data!$X$33:$X$48,"1")</f>
        <v>251274</v>
      </c>
      <c r="E374" s="378"/>
      <c r="F374" s="286">
        <f t="shared" si="26"/>
        <v>-0.16188702372708677</v>
      </c>
      <c r="G374" s="378">
        <f>SUMIFS(Data!$U$63:$U$78,Data!$S$63:$S$78,MarketProfile!A374,Data!$X$63:$X$78,"1")</f>
        <v>386867</v>
      </c>
      <c r="H374" s="378"/>
      <c r="I374" s="286">
        <f t="shared" si="27"/>
        <v>-0.45563720865310303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1485646</v>
      </c>
      <c r="D375" s="378">
        <f>SUMIFS(Data!$U$33:$U$48,Data!$S$33:$S$48,MarketProfile!A375,Data!$X$33:$X$48,"1")</f>
        <v>915154</v>
      </c>
      <c r="E375" s="378"/>
      <c r="F375" s="286">
        <f t="shared" si="26"/>
        <v>0.62338360538226356</v>
      </c>
      <c r="G375" s="378">
        <f>SUMIFS(Data!$U$63:$U$78,Data!$S$63:$S$78,MarketProfile!A375,Data!$X$63:$X$78,"1")</f>
        <v>771324</v>
      </c>
      <c r="H375" s="378"/>
      <c r="I375" s="286">
        <f t="shared" si="27"/>
        <v>0.92609850075973266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113872</v>
      </c>
      <c r="D376" s="378">
        <f>SUMIFS(Data!$U$33:$U$48,Data!$S$33:$S$48,MarketProfile!A376,Data!$X$33:$X$48,"1")</f>
        <v>101142</v>
      </c>
      <c r="E376" s="378"/>
      <c r="F376" s="286">
        <f t="shared" si="26"/>
        <v>0.12586264855351881</v>
      </c>
      <c r="G376" s="378">
        <f>SUMIFS(Data!$U$63:$U$78,Data!$S$63:$S$78,MarketProfile!A376,Data!$X$63:$X$78,"1")</f>
        <v>2230143</v>
      </c>
      <c r="H376" s="378"/>
      <c r="I376" s="286">
        <f t="shared" si="27"/>
        <v>-0.94893959714690945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97065</v>
      </c>
      <c r="D377" s="378">
        <f>SUMIFS(Data!$U$33:$U$48,Data!$S$33:$S$48,MarketProfile!A377,Data!$X$33:$X$48,"1")</f>
        <v>95884</v>
      </c>
      <c r="E377" s="378"/>
      <c r="F377" s="286">
        <f t="shared" si="26"/>
        <v>1.2316966334320638E-2</v>
      </c>
      <c r="G377" s="378">
        <f>SUMIFS(Data!$U$63:$U$78,Data!$S$63:$S$78,MarketProfile!A377,Data!$X$63:$X$78,"1")</f>
        <v>2097341</v>
      </c>
      <c r="H377" s="378"/>
      <c r="I377" s="286">
        <f t="shared" si="27"/>
        <v>-0.95371997209800408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67659</v>
      </c>
      <c r="D378" s="378">
        <f>SUMIFS(Data!$U$33:$U$48,Data!$S$33:$S$48,MarketProfile!A378,Data!$X$33:$X$48,"1")</f>
        <v>121805</v>
      </c>
      <c r="E378" s="378"/>
      <c r="F378" s="286">
        <f t="shared" si="26"/>
        <v>-0.44453019169984814</v>
      </c>
      <c r="G378" s="378">
        <f>SUMIFS(Data!$U$63:$U$78,Data!$S$63:$S$78,MarketProfile!A378,Data!$X$63:$X$78,"1")</f>
        <v>103928</v>
      </c>
      <c r="H378" s="378"/>
      <c r="I378" s="286">
        <f t="shared" si="27"/>
        <v>-0.34898198752982834</v>
      </c>
    </row>
    <row r="379" spans="1:9" ht="15" x14ac:dyDescent="0.25">
      <c r="A379" s="288" t="s">
        <v>133</v>
      </c>
      <c r="B379" s="250"/>
      <c r="C379" s="250">
        <f>SUM(C372:C378)</f>
        <v>3389870</v>
      </c>
      <c r="D379" s="379">
        <f>SUM(D372:E378)</f>
        <v>2687226</v>
      </c>
      <c r="E379" s="379"/>
      <c r="F379" s="324">
        <f t="shared" si="26"/>
        <v>0.26147558858093811</v>
      </c>
      <c r="G379" s="379">
        <f>SUM(G372:H378)</f>
        <v>7095694</v>
      </c>
      <c r="H379" s="379">
        <v>17193059</v>
      </c>
      <c r="I379" s="324">
        <f t="shared" si="27"/>
        <v>-0.52226378420489949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7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341182</v>
      </c>
      <c r="D382" s="378">
        <f>SUMIFS(Data!$U$33:$U$48,Data!$S$33:$S$48,MarketProfile!A382,Data!$X$33:$X$48,"0")</f>
        <v>419216</v>
      </c>
      <c r="E382" s="378"/>
      <c r="F382" s="286">
        <f t="shared" ref="F382:F386" si="28">IFERROR(IF(OR(AND(D382="",C382=""),AND(D382=0,C382=0)),"",
IF(OR(D382="",D382=0),1,
IF(OR(D382&lt;&gt;"",D382&lt;&gt;0),(C382-D382)/ABS(D382)))),-1)</f>
        <v>-0.18614270447692835</v>
      </c>
      <c r="G382" s="378">
        <f>SUMIFS(Data!$U$63:$U$78,Data!$S$63:$S$78,MarketProfile!A382,Data!$X$63:$X$78,"0")</f>
        <v>324128</v>
      </c>
      <c r="H382" s="378"/>
      <c r="I382" s="286">
        <f t="shared" ref="I382:I386" si="29">IFERROR(IF(OR(AND(G382="",C382=""),AND(G382=0,C382=0)),"",
IF(OR(G382="",G382=0),1,
IF(OR(G382&lt;&gt;"",G382&lt;&gt;0),(C382-G382)/ABS(G382)))),-1)</f>
        <v>5.2615016289860796E-2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816690</v>
      </c>
      <c r="D383" s="378">
        <f>SUMIFS(Data!$U$33:$U$48,Data!$S$33:$S$48,MarketProfile!A383,Data!$X$33:$X$48,"0")</f>
        <v>409384</v>
      </c>
      <c r="E383" s="378"/>
      <c r="F383" s="286">
        <f t="shared" si="28"/>
        <v>0.9949240810583706</v>
      </c>
      <c r="G383" s="378">
        <f>SUMIFS(Data!$U$63:$U$78,Data!$S$63:$S$78,MarketProfile!A383,Data!$X$63:$X$78,"0")</f>
        <v>1786860</v>
      </c>
      <c r="H383" s="378"/>
      <c r="I383" s="286">
        <f t="shared" si="29"/>
        <v>-0.54294684530405291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21872</v>
      </c>
      <c r="D384" s="378">
        <f>SUMIFS(Data!$U$33:$U$48,Data!$S$33:$S$48,MarketProfile!A384,Data!$X$33:$X$48,"0")</f>
        <v>166009</v>
      </c>
      <c r="E384" s="378"/>
      <c r="F384" s="286">
        <f t="shared" si="28"/>
        <v>-0.86824810703034172</v>
      </c>
      <c r="G384" s="378">
        <f>SUMIFS(Data!$U$63:$U$78,Data!$S$63:$S$78,MarketProfile!A384,Data!$X$63:$X$78,"0")</f>
        <v>35765</v>
      </c>
      <c r="H384" s="378"/>
      <c r="I384" s="286">
        <f t="shared" si="29"/>
        <v>-0.3884523975954145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78">
        <f>SUMIFS(Data!$U$33:$U$48,Data!$S$33:$S$48,MarketProfile!A385,Data!$X$33:$X$48,"0")</f>
        <v>0</v>
      </c>
      <c r="E385" s="378"/>
      <c r="F385" s="286" t="str">
        <f t="shared" si="28"/>
        <v/>
      </c>
      <c r="G385" s="378">
        <f>SUMIFS(Data!$U$63:$U$78,Data!$S$63:$S$78,MarketProfile!A385,Data!$X$63:$X$78,"0")</f>
        <v>0</v>
      </c>
      <c r="H385" s="378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1179744</v>
      </c>
      <c r="D386" s="379">
        <f>SUM(D382:E385)</f>
        <v>994609</v>
      </c>
      <c r="E386" s="379">
        <f>SUM(E382:E385)</f>
        <v>0</v>
      </c>
      <c r="F386" s="324">
        <f t="shared" si="28"/>
        <v>0.18613847250527593</v>
      </c>
      <c r="G386" s="379">
        <f>SUM(G382:H385)</f>
        <v>2146753</v>
      </c>
      <c r="H386" s="379">
        <v>677531</v>
      </c>
      <c r="I386" s="324">
        <f t="shared" si="29"/>
        <v>-0.45045191505496907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0" t="s">
        <v>208</v>
      </c>
      <c r="B388" s="330"/>
      <c r="C388" s="330"/>
      <c r="D388" s="330"/>
      <c r="E388" s="330"/>
      <c r="F388" s="338"/>
      <c r="G388" s="330"/>
      <c r="H388" s="330"/>
      <c r="I388" s="338"/>
    </row>
    <row r="389" spans="1:9" ht="14.25" x14ac:dyDescent="0.2">
      <c r="A389" s="337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268637066.67498761</v>
      </c>
      <c r="D390" s="378">
        <f>SUMIFS(Data!$T$30:$T$42,Data!$S$30:$S$42,MarketProfile!A390,Data!$X$30:$X$42,"1")/1000</f>
        <v>0</v>
      </c>
      <c r="E390" s="378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78">
        <f>SUMIFS(Data!$T$63:$T$78,Data!$S$63:$S$78,MarketProfile!A390,Data!$X$63:$X$78,"1")</f>
        <v>381303350317.58862</v>
      </c>
      <c r="H390" s="378"/>
      <c r="I390" s="286">
        <f t="shared" ref="I390:I397" si="31">IFERROR(IF(OR(AND(G390="",C390=""),AND(G390=0,C390=0)),"",
IF(OR(G390="",G390=0),1,
IF(OR(G390&lt;&gt;"",G390&lt;&gt;0),(C390-G390)/ABS(G390)))),-1)</f>
        <v>-0.99929547677341091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12250654.97924</v>
      </c>
      <c r="D391" s="378">
        <f>SUMIFS(Data!$T$30:$T$42,Data!$S$30:$S$42,MarketProfile!A391,Data!$X$30:$X$42,"1")/1000</f>
        <v>314642.02669999999</v>
      </c>
      <c r="E391" s="378"/>
      <c r="F391" s="286">
        <f t="shared" si="30"/>
        <v>37.935215068775811</v>
      </c>
      <c r="G391" s="378">
        <f>SUMIFS(Data!$T$63:$T$78,Data!$S$63:$S$78,MarketProfile!A391,Data!$X$63:$X$78,"1")</f>
        <v>6259736407.4619999</v>
      </c>
      <c r="H391" s="378"/>
      <c r="I391" s="286">
        <f t="shared" si="31"/>
        <v>-0.99804294395453508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628.32000000000005</v>
      </c>
      <c r="D392" s="378">
        <f>SUMIFS(Data!$T$30:$T$42,Data!$S$30:$S$42,MarketProfile!A392,Data!$X$30:$X$42,"1")/1000</f>
        <v>47.66</v>
      </c>
      <c r="E392" s="378"/>
      <c r="F392" s="286">
        <f t="shared" si="30"/>
        <v>12.183382291229545</v>
      </c>
      <c r="G392" s="378">
        <f>SUMIFS(Data!$T$63:$T$78,Data!$S$63:$S$78,MarketProfile!A392,Data!$X$63:$X$78,"1")</f>
        <v>833056</v>
      </c>
      <c r="H392" s="378"/>
      <c r="I392" s="286">
        <f t="shared" si="31"/>
        <v>-0.99924576499058892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42395.511296999997</v>
      </c>
      <c r="D393" s="378">
        <f>SUMIFS(Data!$T$30:$T$42,Data!$S$30:$S$42,MarketProfile!A393,Data!$X$30:$X$42,"1")/1000</f>
        <v>36356.737798000002</v>
      </c>
      <c r="E393" s="378"/>
      <c r="F393" s="286">
        <f t="shared" si="30"/>
        <v>0.16609778172485515</v>
      </c>
      <c r="G393" s="378">
        <f>SUMIFS(Data!$T$63:$T$78,Data!$S$63:$S$78,MarketProfile!A393,Data!$X$63:$X$78,"1")</f>
        <v>60294830.689000003</v>
      </c>
      <c r="H393" s="378"/>
      <c r="I393" s="286">
        <f t="shared" si="31"/>
        <v>-0.99929686324992473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70412.023937999998</v>
      </c>
      <c r="D394" s="378">
        <f>SUMIFS(Data!$T$30:$T$42,Data!$S$30:$S$42,MarketProfile!A394,Data!$X$30:$X$42,"1")/1000</f>
        <v>0</v>
      </c>
      <c r="E394" s="378"/>
      <c r="F394" s="286">
        <f t="shared" si="30"/>
        <v>1</v>
      </c>
      <c r="G394" s="378">
        <f>SUMIFS(Data!$T$63:$T$78,Data!$S$63:$S$78,MarketProfile!A394,Data!$X$63:$X$78,"1")</f>
        <v>530163881.35000002</v>
      </c>
      <c r="H394" s="378"/>
      <c r="I394" s="286">
        <f t="shared" si="31"/>
        <v>-0.99986718819139719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2.7480700000000002</v>
      </c>
      <c r="D395" s="378">
        <f>SUMIFS(Data!$T$30:$T$42,Data!$S$30:$S$42,MarketProfile!A395,Data!$X$30:$X$42,"1")/1000</f>
        <v>0</v>
      </c>
      <c r="E395" s="378"/>
      <c r="F395" s="286">
        <f t="shared" si="30"/>
        <v>1</v>
      </c>
      <c r="G395" s="378">
        <f>SUMIFS(Data!$T$63:$T$78,Data!$S$63:$S$78,MarketProfile!A395,Data!$X$63:$X$78,"1")</f>
        <v>0</v>
      </c>
      <c r="H395" s="378"/>
      <c r="I395" s="286">
        <f t="shared" si="31"/>
        <v>1</v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2746297.8605289999</v>
      </c>
      <c r="D396" s="378">
        <f>SUMIFS(Data!$T$30:$T$42,Data!$S$30:$S$42,MarketProfile!A396,Data!$X$30:$X$42,"1")/1000</f>
        <v>2263310.9990700004</v>
      </c>
      <c r="E396" s="378"/>
      <c r="F396" s="286">
        <f t="shared" si="30"/>
        <v>0.2133983626896436</v>
      </c>
      <c r="G396" s="378">
        <f>SUMIFS(Data!$T$63:$T$78,Data!$S$63:$S$78,MarketProfile!A396,Data!$X$63:$X$78,"1")</f>
        <v>1449356289.4200001</v>
      </c>
      <c r="H396" s="378"/>
      <c r="I396" s="286">
        <f t="shared" si="31"/>
        <v>-0.99810516028351592</v>
      </c>
    </row>
    <row r="397" spans="1:9" ht="15" x14ac:dyDescent="0.25">
      <c r="A397" s="288" t="s">
        <v>133</v>
      </c>
      <c r="B397" s="250"/>
      <c r="C397" s="250">
        <f>SUM(C390:C396)</f>
        <v>283747458.1180616</v>
      </c>
      <c r="D397" s="379">
        <f>SUM(D390:E396)</f>
        <v>2614357.4235680001</v>
      </c>
      <c r="E397" s="379">
        <f>SUM(E390:E396)</f>
        <v>0</v>
      </c>
      <c r="F397" s="324">
        <f t="shared" si="30"/>
        <v>107.53430198951573</v>
      </c>
      <c r="G397" s="379">
        <f>SUM(G390:H396)</f>
        <v>389603734782.50958</v>
      </c>
      <c r="H397" s="379">
        <v>320543973</v>
      </c>
      <c r="I397" s="324">
        <f t="shared" si="31"/>
        <v>-0.9992717024176464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7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1817872.31544</v>
      </c>
      <c r="D400" s="378">
        <f>SUMIFS(Data!$T$30:$T$42,Data!$S$30:$S$42,MarketProfile!A400,Data!$X$30:$X$42,"0")/1000</f>
        <v>2702464.84332</v>
      </c>
      <c r="E400" s="378"/>
      <c r="F400" s="286">
        <f t="shared" ref="F400:F404" si="32">IFERROR(IF(OR(AND(D400="",C400=""),AND(D400=0,C400=0)),"",
IF(OR(D400="",D400=0),1,
IF(OR(D400&lt;&gt;"",D400&lt;&gt;0),(C400-D400)/ABS(D400)))),-1)</f>
        <v>-0.32732804279269395</v>
      </c>
      <c r="G400" s="378">
        <f>SUMIFS(Data!$T$63:$T$78,Data!$S$63:$S$78,MarketProfile!A400,Data!$X$63:$X$78,"0")/1000</f>
        <v>2449472.0115500004</v>
      </c>
      <c r="H400" s="378"/>
      <c r="I400" s="286">
        <f t="shared" ref="I400:I404" si="33">IFERROR(IF(OR(AND(G400="",C400=""),AND(G400=0,C400=0)),"",
IF(OR(G400="",G400=0),1,
IF(OR(G400&lt;&gt;"",G400&lt;&gt;0),(C400-G400)/ABS(G400)))),-1)</f>
        <v>-0.25785136271482878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881476.90400999994</v>
      </c>
      <c r="D401" s="378">
        <f>SUMIFS(Data!$T$30:$T$42,Data!$S$30:$S$42,MarketProfile!A401,Data!$X$30:$X$42,"0")/1000</f>
        <v>1295136.27321</v>
      </c>
      <c r="E401" s="378"/>
      <c r="F401" s="286">
        <f t="shared" si="32"/>
        <v>-0.31939447435499879</v>
      </c>
      <c r="G401" s="378">
        <f>SUMIFS(Data!$T$63:$T$78,Data!$S$63:$S$78,MarketProfile!A401,Data!$X$63:$X$78,"0")/1000</f>
        <v>400354.61586999998</v>
      </c>
      <c r="H401" s="378"/>
      <c r="I401" s="286">
        <f t="shared" si="33"/>
        <v>1.2017403298685239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26567.646699999998</v>
      </c>
      <c r="D402" s="378">
        <f>SUMIFS(Data!$T$30:$T$42,Data!$S$30:$S$42,MarketProfile!A402,Data!$X$30:$X$42,"0")/1000</f>
        <v>77720.286939999991</v>
      </c>
      <c r="E402" s="378"/>
      <c r="F402" s="286">
        <f t="shared" si="32"/>
        <v>-0.65816329627668257</v>
      </c>
      <c r="G402" s="378">
        <f>SUMIFS(Data!$T$63:$T$78,Data!$S$63:$S$78,MarketProfile!A402,Data!$X$63:$X$78,"0")/1000</f>
        <v>45464.391309999999</v>
      </c>
      <c r="H402" s="378"/>
      <c r="I402" s="286">
        <f t="shared" si="33"/>
        <v>-0.41563835048735426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78">
        <f>SUMIFS(Data!$T$30:$T$42,Data!$S$30:$S$42,MarketProfile!A403,Data!$X$30:$X$42,"0")/1000</f>
        <v>0</v>
      </c>
      <c r="E403" s="378"/>
      <c r="F403" s="286" t="str">
        <f t="shared" si="32"/>
        <v/>
      </c>
      <c r="G403" s="378">
        <f>SUMIFS(Data!$T$63:$T$78,Data!$S$63:$S$78,MarketProfile!A403,Data!$X$63:$X$78,"0")/1000</f>
        <v>0</v>
      </c>
      <c r="H403" s="378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2725916.8661499997</v>
      </c>
      <c r="D404" s="379">
        <f>SUM(D400:E403)</f>
        <v>4075321.4034700003</v>
      </c>
      <c r="E404" s="379">
        <f>SUM(E400:E403)</f>
        <v>0</v>
      </c>
      <c r="F404" s="324">
        <f t="shared" si="32"/>
        <v>-0.3311161019523583</v>
      </c>
      <c r="G404" s="379">
        <f>SUM(G400:H403)</f>
        <v>2895291.0187300001</v>
      </c>
      <c r="H404" s="379">
        <v>1436842</v>
      </c>
      <c r="I404" s="324">
        <f t="shared" si="33"/>
        <v>-5.849987151008236E-2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0" t="s">
        <v>144</v>
      </c>
      <c r="B406" s="330"/>
      <c r="C406" s="330"/>
      <c r="D406" s="330"/>
      <c r="E406" s="330"/>
      <c r="F406" s="338"/>
      <c r="G406" s="330"/>
      <c r="H406" s="330"/>
      <c r="I406" s="338"/>
    </row>
    <row r="407" spans="1:9" ht="14.25" x14ac:dyDescent="0.2">
      <c r="A407" s="337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580767</v>
      </c>
      <c r="D408" s="378">
        <f>SUMIFS(Data!$W$34:$W$47,Data!$S$34:$S$47,MarketProfile!A408,Data!$X$34:$X$47,"1")</f>
        <v>548165</v>
      </c>
      <c r="E408" s="378"/>
      <c r="F408" s="286">
        <f t="shared" ref="F408:F414" si="34">IFERROR(IF(OR(AND(D408="",C408=""),AND(D408=0,C408=0)),"",
IF(OR(D408="",D408=0),1,
IF(OR(D408&lt;&gt;"",D408&lt;&gt;0),(C408-D408)/ABS(D408)))),-1)</f>
        <v>5.9474793173588246E-2</v>
      </c>
      <c r="G408" s="378">
        <f>SUMIFS(Data!$W$81:$W$93,Data!$S$81:$S$93,MarketProfile!A408,Data!$X$81:$X$93,"1")</f>
        <v>615965</v>
      </c>
      <c r="H408" s="378"/>
      <c r="I408" s="286">
        <f t="shared" ref="I408:I414" si="35">IFERROR(IF(OR(AND(G408="",C408=""),AND(G408=0,C408=0)),"",
IF(OR(G408="",G408=0),1,
IF(OR(G408&lt;&gt;"",G408&lt;&gt;0),(C408-G408)/ABS(G408)))),-1)</f>
        <v>-5.7142857142857141E-2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1125832</v>
      </c>
      <c r="D409" s="378">
        <f>SUMIFS(Data!$W$34:$W$47,Data!$S$34:$S$47,MarketProfile!A409,Data!$X$34:$X$47,"1")</f>
        <v>963916</v>
      </c>
      <c r="E409" s="378"/>
      <c r="F409" s="286">
        <f t="shared" si="34"/>
        <v>0.16797729262715838</v>
      </c>
      <c r="G409" s="378">
        <f>SUMIFS(Data!$W$81:$W$93,Data!$S$81:$S$93,MarketProfile!A409,Data!$X$81:$X$93,"1")</f>
        <v>0</v>
      </c>
      <c r="H409" s="378"/>
      <c r="I409" s="286">
        <f t="shared" si="35"/>
        <v>1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766889</v>
      </c>
      <c r="D410" s="378">
        <f>SUMIFS(Data!$W$34:$W$47,Data!$S$34:$S$47,MarketProfile!A410,Data!$X$34:$X$47,"1")</f>
        <v>767993</v>
      </c>
      <c r="E410" s="378"/>
      <c r="F410" s="286">
        <f t="shared" si="34"/>
        <v>-1.437513102332964E-3</v>
      </c>
      <c r="G410" s="378">
        <f>SUMIFS(Data!$W$81:$W$93,Data!$S$81:$S$93,MarketProfile!A410,Data!$X$81:$X$93,"1")</f>
        <v>504906</v>
      </c>
      <c r="H410" s="378"/>
      <c r="I410" s="286">
        <f t="shared" si="35"/>
        <v>0.51887480045790701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1182665</v>
      </c>
      <c r="D411" s="378">
        <f>SUMIFS(Data!$W$34:$W$47,Data!$S$34:$S$47,MarketProfile!A411,Data!$X$34:$X$47,"1")</f>
        <v>2012411</v>
      </c>
      <c r="E411" s="378"/>
      <c r="F411" s="286">
        <f t="shared" si="34"/>
        <v>-0.41231438309569962</v>
      </c>
      <c r="G411" s="378">
        <f>SUMIFS(Data!$W$81:$W$93,Data!$S$81:$S$93,MarketProfile!A411,Data!$X$81:$X$93,"1")</f>
        <v>637952</v>
      </c>
      <c r="H411" s="378"/>
      <c r="I411" s="286">
        <f t="shared" si="35"/>
        <v>0.8538463708868379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1654538</v>
      </c>
      <c r="D412" s="378">
        <f>SUMIFS(Data!$W$34:$W$47,Data!$S$34:$S$47,MarketProfile!A412,Data!$X$34:$X$47,"1")</f>
        <v>1649592</v>
      </c>
      <c r="E412" s="378"/>
      <c r="F412" s="286">
        <f t="shared" si="34"/>
        <v>2.9983171596370496E-3</v>
      </c>
      <c r="G412" s="378">
        <f>SUMIFS(Data!$W$81:$W$93,Data!$S$81:$S$93,MarketProfile!A412,Data!$X$81:$X$93,"1")</f>
        <v>6634497</v>
      </c>
      <c r="H412" s="378"/>
      <c r="I412" s="286">
        <f t="shared" si="35"/>
        <v>-0.75061590954069313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1565435</v>
      </c>
      <c r="D413" s="378">
        <f>SUMIFS(Data!$W$34:$W$47,Data!$S$34:$S$47,MarketProfile!A413,Data!$X$34:$X$47,"1")</f>
        <v>1558903</v>
      </c>
      <c r="E413" s="378"/>
      <c r="F413" s="286">
        <f t="shared" si="34"/>
        <v>4.1901260052742218E-3</v>
      </c>
      <c r="G413" s="378">
        <f>SUMIFS(Data!$W$81:$W$93,Data!$S$81:$S$93,MarketProfile!A413,Data!$X$81:$X$93,"1")</f>
        <v>6513524</v>
      </c>
      <c r="H413" s="378"/>
      <c r="I413" s="286">
        <f t="shared" si="35"/>
        <v>-0.75966389315522598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136802</v>
      </c>
      <c r="D414" s="378">
        <f>SUMIFS(Data!$W$34:$W$47,Data!$S$34:$S$47,MarketProfile!A414,Data!$X$34:$X$47,"1")</f>
        <v>137721</v>
      </c>
      <c r="E414" s="378"/>
      <c r="F414" s="286">
        <f t="shared" si="34"/>
        <v>-6.6729111754924809E-3</v>
      </c>
      <c r="G414" s="378">
        <f>SUMIFS(Data!$W$81:$W$93,Data!$S$81:$S$93,MarketProfile!A414,Data!$X$81:$X$93,"1")</f>
        <v>476657</v>
      </c>
      <c r="H414" s="378"/>
      <c r="I414" s="286">
        <f t="shared" si="35"/>
        <v>-0.71299697686176855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7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1059351</v>
      </c>
      <c r="D417" s="378">
        <f>SUMIFS(Data!$W$34:$W$47,Data!$S$34:$S$47,MarketProfile!A417,Data!$X$34:$X$47,"0")</f>
        <v>925459</v>
      </c>
      <c r="E417" s="378"/>
      <c r="F417" s="286">
        <f t="shared" ref="F417:F419" si="36">IFERROR(IF(OR(AND(D417="",C417=""),AND(D417=0,C417=0)),"",
IF(OR(D417="",D417=0),1,
IF(OR(D417&lt;&gt;"",D417&lt;&gt;0),(C417-D417)/ABS(D417)))),-1)</f>
        <v>0.14467631737332501</v>
      </c>
      <c r="G417" s="378">
        <f>SUMIFS(Data!$W$81:$W$93,Data!$S$81:$S$93,MarketProfile!A417,Data!$X$81:$X$93,"0")</f>
        <v>1099504</v>
      </c>
      <c r="H417" s="378"/>
      <c r="I417" s="286">
        <f t="shared" ref="I417:I419" si="37">IFERROR(IF(OR(AND(G417="",C417=""),AND(G417=0,C417=0)),"",
IF(OR(G417="",G417=0),1,
IF(OR(G417&lt;&gt;"",G417&lt;&gt;0),(C417-G417)/ABS(G417)))),-1)</f>
        <v>-3.6519194109343851E-2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1725805</v>
      </c>
      <c r="D418" s="378">
        <f>SUMIFS(Data!$W$34:$W$47,Data!$S$34:$S$47,MarketProfile!A418,Data!$X$34:$X$47,"0")</f>
        <v>1275176</v>
      </c>
      <c r="E418" s="378"/>
      <c r="F418" s="286">
        <f t="shared" si="36"/>
        <v>0.35338572871509499</v>
      </c>
      <c r="G418" s="378">
        <f>SUMIFS(Data!$W$75:$W$87,Data!$S$75:$S$87,MarketProfile!A418,Data!$X$75:$X$87,"0")</f>
        <v>1766765</v>
      </c>
      <c r="H418" s="378"/>
      <c r="I418" s="286">
        <f t="shared" si="37"/>
        <v>-2.3183615251603919E-2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458897</v>
      </c>
      <c r="D419" s="378">
        <f>SUMIFS(Data!$W$34:$W$47,Data!$S$34:$S$47,MarketProfile!A419,Data!$X$34:$X$47,"0")</f>
        <v>453485</v>
      </c>
      <c r="E419" s="378"/>
      <c r="F419" s="286">
        <f t="shared" si="36"/>
        <v>1.1934242587957705E-2</v>
      </c>
      <c r="G419" s="378">
        <f>SUMIFS(Data!$W$75:$W$87,Data!$S$75:$S$87,MarketProfile!A419,Data!$X$75:$X$87,"0")</f>
        <v>181422</v>
      </c>
      <c r="H419" s="378"/>
      <c r="I419" s="286">
        <f t="shared" si="37"/>
        <v>1.5294451610058317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89" t="str">
        <f>"Market Profile - "&amp; TEXT($H$3,"MMM")&amp;" "&amp;TEXT($H$3,"YYYY")</f>
        <v>Market Profile - Feb 2019</v>
      </c>
      <c r="B429" s="248"/>
      <c r="C429" s="248"/>
      <c r="D429" s="248"/>
      <c r="E429" s="393" t="s">
        <v>205</v>
      </c>
      <c r="F429" s="393"/>
      <c r="G429" s="393"/>
      <c r="H429" s="393"/>
      <c r="I429" s="393"/>
    </row>
    <row r="430" spans="1:12" ht="10.5" customHeight="1" thickBot="1" x14ac:dyDescent="0.25">
      <c r="A430" s="390"/>
      <c r="B430" s="278"/>
      <c r="C430" s="278"/>
      <c r="D430" s="278"/>
      <c r="E430" s="394"/>
      <c r="F430" s="394"/>
      <c r="G430" s="394"/>
      <c r="H430" s="394"/>
      <c r="I430" s="394"/>
    </row>
    <row r="431" spans="1:12" ht="38.25" customHeight="1" thickBot="1" x14ac:dyDescent="0.3">
      <c r="A431" s="328"/>
      <c r="B431" s="328"/>
      <c r="C431" s="339" t="str">
        <f>TEXT($H$3,"MMM")&amp;" "&amp;TEXT($H$3,"YYYY")</f>
        <v>Feb 2019</v>
      </c>
      <c r="D431" s="328"/>
      <c r="E431" s="339" t="str">
        <f>TEXT(DATE(2000,TEXT(H3,"M")-1,1),"mmm")&amp; " "&amp; TEXT(H3,"YYYY")</f>
        <v>Jan 2019</v>
      </c>
      <c r="F431" s="180" t="s">
        <v>193</v>
      </c>
      <c r="G431" s="328"/>
      <c r="H431" s="340" t="str">
        <f>TEXT($H$3,"MMM")&amp;" "&amp;TEXT($H$3,"YYYY")-1</f>
        <v>Feb 2018</v>
      </c>
      <c r="I431" s="340" t="s">
        <v>194</v>
      </c>
    </row>
    <row r="432" spans="1:12" ht="15" x14ac:dyDescent="0.25">
      <c r="A432" s="330" t="s">
        <v>117</v>
      </c>
      <c r="B432" s="330"/>
      <c r="C432" s="330"/>
      <c r="D432" s="330"/>
      <c r="E432" s="330"/>
      <c r="F432" s="330"/>
      <c r="G432" s="330"/>
      <c r="H432" s="330"/>
      <c r="I432" s="341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651</v>
      </c>
      <c r="D434" s="376">
        <f>SUMIFS(Data!$AQ:$AQ,Data!$AN:$AN,MarketProfile!A434,Data!$AS:$AS,"1")</f>
        <v>610</v>
      </c>
      <c r="E434" s="376"/>
      <c r="F434" s="179">
        <f>IFERROR(IF(OR(AND(D434="",C434=""),AND(D434=0,C434=0)),"",
IF(OR(D434="",D434=0),1,
IF(OR(D434&lt;&gt;"",D434&lt;&gt;0),(C434-D434)/ABS(D434)))),-1)</f>
        <v>6.7213114754098358E-2</v>
      </c>
      <c r="G434" s="376">
        <f>SUMIFS(Data!$BE:$BE,Data!$BB:$BB,MarketProfile!A434,Data!BG:BG,"1")</f>
        <v>795</v>
      </c>
      <c r="H434" s="376"/>
      <c r="I434" s="179">
        <f t="shared" ref="I434:I441" si="38">IFERROR(IF(OR(AND(G434="",C434=""),AND(G434=0,C434=0)),"",
IF(OR(G434="",G434=0),1,
IF(OR(G434&lt;&gt;"",G434&lt;&gt;0),(C434-G434)/ABS(G434)))),-1)</f>
        <v>-0.1811320754716981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1770</v>
      </c>
      <c r="D435" s="376">
        <f>SUMIFS(Data!$AQ:$AQ,Data!$AN:$AN,MarketProfile!A435,Data!$AS:$AS,"1")</f>
        <v>2064</v>
      </c>
      <c r="E435" s="376"/>
      <c r="F435" s="179">
        <f t="shared" ref="F435:F442" si="39">IFERROR(IF(OR(AND(D435="",C435=""),AND(D435=0,C435=0)),"",
IF(OR(D435="",D435=0),1,
IF(OR(D435&lt;&gt;"",D435&lt;&gt;0),(C435-D435)/ABS(D435)))),-1)</f>
        <v>-0.14244186046511628</v>
      </c>
      <c r="G435" s="376">
        <f>SUMIFS(Data!$BE:$BE,Data!$BB:$BB,MarketProfile!A435,Data!BG:BG,"1")</f>
        <v>2225</v>
      </c>
      <c r="H435" s="376"/>
      <c r="I435" s="179">
        <f t="shared" si="38"/>
        <v>-0.20449438202247192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9228</v>
      </c>
      <c r="D436" s="376">
        <f>SUMIFS(Data!$AQ:$AQ,Data!$AN:$AN,MarketProfile!A436,Data!$AS:$AS,"1")</f>
        <v>7790</v>
      </c>
      <c r="E436" s="376"/>
      <c r="F436" s="179">
        <f t="shared" si="39"/>
        <v>0.18459563543003851</v>
      </c>
      <c r="G436" s="376">
        <f>SUMIFS(Data!$BE:$BE,Data!$BB:$BB,MarketProfile!A436,Data!BG:BG,"1")</f>
        <v>6855</v>
      </c>
      <c r="H436" s="376"/>
      <c r="I436" s="179">
        <f t="shared" si="38"/>
        <v>0.34617067833698029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21</v>
      </c>
      <c r="D437" s="376">
        <f>SUMIFS(Data!$AQ:$AQ,Data!$AN:$AN,MarketProfile!A437,Data!$AS:$AS,"1")</f>
        <v>9</v>
      </c>
      <c r="E437" s="376"/>
      <c r="F437" s="179">
        <f t="shared" si="39"/>
        <v>1.3333333333333333</v>
      </c>
      <c r="G437" s="376">
        <f>SUMIFS(Data!$BE:$BE,Data!$BB:$BB,MarketProfile!A437,Data!BG:BG,"1")</f>
        <v>6</v>
      </c>
      <c r="H437" s="376"/>
      <c r="I437" s="179">
        <f t="shared" si="38"/>
        <v>2.5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2240</v>
      </c>
      <c r="D438" s="376">
        <f>SUMIFS(Data!$AQ:$AQ,Data!$AN:$AN,MarketProfile!A438,Data!$AS:$AS,"1")</f>
        <v>1892</v>
      </c>
      <c r="E438" s="376"/>
      <c r="F438" s="179">
        <f t="shared" si="39"/>
        <v>0.1839323467230444</v>
      </c>
      <c r="G438" s="376">
        <f>SUMIFS(Data!$BE:$BE,Data!$BB:$BB,MarketProfile!A438,Data!BG:BG,"1")</f>
        <v>2014</v>
      </c>
      <c r="H438" s="376"/>
      <c r="I438" s="179">
        <f t="shared" si="38"/>
        <v>0.11221449851042702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16952</v>
      </c>
      <c r="D439" s="376">
        <f>SUMIFS(Data!$AQ:$AQ,Data!$AN:$AN,MarketProfile!A439,Data!$AS:$AS,"1")</f>
        <v>17556</v>
      </c>
      <c r="E439" s="376"/>
      <c r="F439" s="179">
        <f t="shared" si="39"/>
        <v>-3.4404192298929138E-2</v>
      </c>
      <c r="G439" s="376">
        <f>SUMIFS(Data!$BE:$BE,Data!$BB:$BB,MarketProfile!A439,Data!BG:BG,"1")</f>
        <v>13450</v>
      </c>
      <c r="H439" s="376"/>
      <c r="I439" s="179">
        <f t="shared" si="38"/>
        <v>0.26037174721189593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29</v>
      </c>
      <c r="D440" s="376">
        <f>SUMIFS(Data!$AQ:$AQ,Data!$AN:$AN,MarketProfile!A440,Data!$AS:$AS,"1")</f>
        <v>12</v>
      </c>
      <c r="E440" s="376"/>
      <c r="F440" s="179">
        <f t="shared" si="39"/>
        <v>1.4166666666666667</v>
      </c>
      <c r="G440" s="376">
        <f>SUMIFS(Data!$BE:$BE,Data!$BB:$BB,MarketProfile!A440,Data!BG:BG,"1")</f>
        <v>9</v>
      </c>
      <c r="H440" s="376"/>
      <c r="I440" s="179">
        <f t="shared" si="38"/>
        <v>2.2222222222222223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3</v>
      </c>
      <c r="D441" s="376">
        <f>SUMIFS(Data!$AQ:$AQ,Data!$AN:$AN,MarketProfile!A441,Data!$AS:$AS,"1")</f>
        <v>4</v>
      </c>
      <c r="E441" s="376"/>
      <c r="F441" s="179">
        <f t="shared" si="39"/>
        <v>-0.25</v>
      </c>
      <c r="G441" s="376">
        <f>SUMIFS(Data!$BE:$BE,Data!$BB:$BB,MarketProfile!A441,Data!BG:BG,"1")</f>
        <v>57</v>
      </c>
      <c r="H441" s="376"/>
      <c r="I441" s="179">
        <f t="shared" si="38"/>
        <v>-0.94736842105263153</v>
      </c>
      <c r="J441" s="158"/>
    </row>
    <row r="442" spans="1:10" x14ac:dyDescent="0.2">
      <c r="A442" s="246" t="s">
        <v>187</v>
      </c>
      <c r="B442" s="247"/>
      <c r="C442" s="4">
        <f>SUM(C434:C441)</f>
        <v>30894</v>
      </c>
      <c r="D442" s="377">
        <f>SUM(D434:E441)</f>
        <v>29937</v>
      </c>
      <c r="E442" s="377">
        <f>SUM(E434:E441)</f>
        <v>0</v>
      </c>
      <c r="F442" s="166">
        <f t="shared" si="39"/>
        <v>3.1967130975047602E-2</v>
      </c>
      <c r="G442" s="377">
        <f>SUM(G434:H441)</f>
        <v>25411</v>
      </c>
      <c r="H442" s="377">
        <f>SUM(H434:H441)</f>
        <v>0</v>
      </c>
      <c r="I442" s="166">
        <f>IFERROR(IF(OR(AND(G442="",C442=""),AND(G442=0,C442=0)),"",
IF(OR(G442="",G442=0),1,
IF(OR(G442&lt;&gt;"",G442&lt;&gt;0),(C442-G442)/ABS(G442)))),-1)</f>
        <v>0.21577269686356301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76">
        <f>SUMIFS(Data!$AQ:$AQ,Data!$AN:$AN,MarketProfile!A444,Data!$AS:$AS,"0")</f>
        <v>0</v>
      </c>
      <c r="E444" s="376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376">
        <f>SUMIFS(Data!$BE:$BE,Data!$BB:$BB,MarketProfile!A444,Data!BG:BG,"0")</f>
        <v>0</v>
      </c>
      <c r="H444" s="376"/>
      <c r="I444" s="179" t="str">
        <f t="shared" ref="I444:I452" si="41">IFERROR(IF(OR(AND(G444="",C444=""),AND(G444=0,C444=0)),"",
IF(OR(G444="",G444=0),1,
IF(OR(G444&lt;&gt;"",G444&lt;&gt;0),(C444-G444)/ABS(G444)))),-1)</f>
        <v/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54</v>
      </c>
      <c r="D445" s="376">
        <f>SUMIFS(Data!$AQ:$AQ,Data!$AN:$AN,MarketProfile!A445,Data!$AS:$AS,"0")</f>
        <v>92</v>
      </c>
      <c r="E445" s="376"/>
      <c r="F445" s="179">
        <f t="shared" si="40"/>
        <v>-0.41304347826086957</v>
      </c>
      <c r="G445" s="376">
        <f>SUMIFS(Data!$BE:$BE,Data!$BB:$BB,MarketProfile!A445,Data!BG:BG,"0")</f>
        <v>120</v>
      </c>
      <c r="H445" s="376"/>
      <c r="I445" s="179">
        <f t="shared" si="41"/>
        <v>-0.55000000000000004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393</v>
      </c>
      <c r="D446" s="376">
        <f>SUMIFS(Data!$AQ:$AQ,Data!$AN:$AN,MarketProfile!A446,Data!$AS:$AS,"0")</f>
        <v>495</v>
      </c>
      <c r="E446" s="376"/>
      <c r="F446" s="179">
        <f t="shared" si="40"/>
        <v>-0.20606060606060606</v>
      </c>
      <c r="G446" s="376">
        <f>SUMIFS(Data!$BE:$BE,Data!$BB:$BB,MarketProfile!A446,Data!BG:BG,"0")</f>
        <v>447</v>
      </c>
      <c r="H446" s="376"/>
      <c r="I446" s="179">
        <f t="shared" si="41"/>
        <v>-0.12080536912751678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6">
        <f>SUMIFS(Data!$AQ:$AQ,Data!$AN:$AN,MarketProfile!A447,Data!$AS:$AS,"0")</f>
        <v>0</v>
      </c>
      <c r="E447" s="376"/>
      <c r="F447" s="179" t="str">
        <f t="shared" si="40"/>
        <v/>
      </c>
      <c r="G447" s="376">
        <f>SUMIFS(Data!$BE:$BE,Data!$BB:$BB,MarketProfile!A447,Data!BG:BG,"0")</f>
        <v>0</v>
      </c>
      <c r="H447" s="376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39</v>
      </c>
      <c r="D448" s="376">
        <f>SUMIFS(Data!$AQ:$AQ,Data!$AN:$AN,MarketProfile!A448,Data!$AS:$AS,"0")</f>
        <v>69</v>
      </c>
      <c r="E448" s="376"/>
      <c r="F448" s="179">
        <f t="shared" si="40"/>
        <v>-0.43478260869565216</v>
      </c>
      <c r="G448" s="376">
        <f>SUMIFS(Data!$BE:$BE,Data!$BB:$BB,MarketProfile!A448,Data!BG:BG,"0")</f>
        <v>180</v>
      </c>
      <c r="H448" s="376"/>
      <c r="I448" s="179">
        <f t="shared" si="41"/>
        <v>-0.78333333333333333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2958</v>
      </c>
      <c r="D449" s="376">
        <f>SUMIFS(Data!$AQ:$AQ,Data!$AN:$AN,MarketProfile!A449,Data!$AS:$AS,"0")</f>
        <v>4953</v>
      </c>
      <c r="E449" s="376"/>
      <c r="F449" s="179">
        <f t="shared" si="40"/>
        <v>-0.40278619018776501</v>
      </c>
      <c r="G449" s="376">
        <f>SUMIFS(Data!$BE:$BE,Data!$BB:$BB,MarketProfile!A449,Data!BG:BG,"0")</f>
        <v>1831</v>
      </c>
      <c r="H449" s="376"/>
      <c r="I449" s="179">
        <f t="shared" si="41"/>
        <v>0.61551064991807758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376">
        <f>SUMIFS(Data!$AQ:$AQ,Data!$AN:$AN,MarketProfile!A450,Data!$AS:$AS,"0")</f>
        <v>0</v>
      </c>
      <c r="E450" s="376"/>
      <c r="F450" s="179" t="str">
        <f t="shared" si="40"/>
        <v/>
      </c>
      <c r="G450" s="376">
        <f>SUMIFS(Data!$BE:$BE,Data!$BB:$BB,MarketProfile!A450,Data!BG:BG,"0")</f>
        <v>0</v>
      </c>
      <c r="H450" s="376"/>
      <c r="I450" s="179" t="str">
        <f t="shared" si="41"/>
        <v/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6">
        <f>SUMIFS(Data!$AQ:$AQ,Data!$AN:$AN,MarketProfile!A451,Data!$AS:$AS,"0")</f>
        <v>0</v>
      </c>
      <c r="E451" s="376"/>
      <c r="F451" s="179" t="str">
        <f t="shared" si="40"/>
        <v/>
      </c>
      <c r="G451" s="376">
        <f>SUMIFS(Data!$BE:$BE,Data!$BB:$BB,MarketProfile!A451,Data!BG:BG,"0")</f>
        <v>0</v>
      </c>
      <c r="H451" s="376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3444</v>
      </c>
      <c r="D452" s="377">
        <f>SUM(D444:E451)</f>
        <v>5609</v>
      </c>
      <c r="E452" s="377">
        <f>SUM(E444:E451)</f>
        <v>0</v>
      </c>
      <c r="F452" s="166">
        <f t="shared" si="40"/>
        <v>-0.38598680691745407</v>
      </c>
      <c r="G452" s="377">
        <f>SUM(G444:H451)</f>
        <v>2578</v>
      </c>
      <c r="H452" s="377">
        <f>SUM(H444:H451)</f>
        <v>0</v>
      </c>
      <c r="I452" s="166">
        <f t="shared" si="41"/>
        <v>0.33591931730023272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23605</v>
      </c>
      <c r="D455" s="376">
        <f>SUMIFS(Data!$AP:$AP,Data!$AN:$AN,MarketProfile!A455,Data!$AS:$AS,"1")</f>
        <v>12005</v>
      </c>
      <c r="E455" s="376"/>
      <c r="F455" s="179">
        <f t="shared" ref="F455:F463" si="42">IFERROR(IF(OR(AND(D455="",C455=""),AND(D455=0,C455=0)),"",
IF(OR(D455="",D455=0),1,
IF(OR(D455&lt;&gt;"",D455&lt;&gt;0),(C455-D455)/ABS(D455)))),-1)</f>
        <v>0.96626405664306536</v>
      </c>
      <c r="G455" s="376">
        <f>SUMIFS(Data!$BD:$BD,Data!$BB:$BB,MarketProfile!A455,Data!BG:BG,"1")</f>
        <v>10730</v>
      </c>
      <c r="H455" s="376"/>
      <c r="I455" s="179">
        <f t="shared" ref="I455:I463" si="43">IFERROR(IF(OR(AND(G455="",C455=""),AND(G455=0,C455=0)),"",
IF(OR(G455="",G455=0),1,
IF(OR(G455&lt;&gt;"",G455&lt;&gt;0),(C455-G455)/ABS(G455)))),-1)</f>
        <v>1.1999068033550793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28488</v>
      </c>
      <c r="D456" s="376">
        <f>SUMIFS(Data!$AP:$AP,Data!$AN:$AN,MarketProfile!A456,Data!$AS:$AS,"1")</f>
        <v>20330</v>
      </c>
      <c r="E456" s="376"/>
      <c r="F456" s="179">
        <f t="shared" si="42"/>
        <v>0.40127889818002949</v>
      </c>
      <c r="G456" s="376">
        <f>SUMIFS(Data!$BD:$BD,Data!$BB:$BB,MarketProfile!A456,Data!BG:BG,"1")</f>
        <v>31243</v>
      </c>
      <c r="H456" s="376"/>
      <c r="I456" s="179">
        <f t="shared" si="43"/>
        <v>-8.817975226450725E-2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55821</v>
      </c>
      <c r="D457" s="376">
        <f>SUMIFS(Data!$AP:$AP,Data!$AN:$AN,MarketProfile!A457,Data!$AS:$AS,"1")</f>
        <v>44834</v>
      </c>
      <c r="E457" s="376"/>
      <c r="F457" s="179">
        <f t="shared" si="42"/>
        <v>0.245059553017799</v>
      </c>
      <c r="G457" s="376">
        <f>SUMIFS(Data!$BD:$BD,Data!$BB:$BB,MarketProfile!A457,Data!BG:BG,"1")</f>
        <v>55504</v>
      </c>
      <c r="H457" s="376"/>
      <c r="I457" s="179">
        <f t="shared" si="43"/>
        <v>5.7113000864802534E-3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1398</v>
      </c>
      <c r="D458" s="376">
        <f>SUMIFS(Data!$AP:$AP,Data!$AN:$AN,MarketProfile!A458,Data!$AS:$AS,"1")</f>
        <v>285</v>
      </c>
      <c r="E458" s="376"/>
      <c r="F458" s="179">
        <f t="shared" si="42"/>
        <v>3.905263157894737</v>
      </c>
      <c r="G458" s="376">
        <f>SUMIFS(Data!$BD:$BD,Data!$BB:$BB,MarketProfile!A458,Data!BG:BG,"1")</f>
        <v>24</v>
      </c>
      <c r="H458" s="376"/>
      <c r="I458" s="179">
        <f t="shared" si="43"/>
        <v>57.25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12474</v>
      </c>
      <c r="D459" s="376">
        <f>SUMIFS(Data!$AP:$AP,Data!$AN:$AN,MarketProfile!A459,Data!$AS:$AS,"1")</f>
        <v>10328</v>
      </c>
      <c r="E459" s="376"/>
      <c r="F459" s="179">
        <f t="shared" si="42"/>
        <v>0.20778466305189774</v>
      </c>
      <c r="G459" s="376">
        <f>SUMIFS(Data!$BD:$BD,Data!$BB:$BB,MarketProfile!A459,Data!BG:BG,"1")</f>
        <v>15774</v>
      </c>
      <c r="H459" s="376"/>
      <c r="I459" s="179">
        <f t="shared" si="43"/>
        <v>-0.20920502092050208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102710</v>
      </c>
      <c r="D460" s="376">
        <f>SUMIFS(Data!$AP:$AP,Data!$AN:$AN,MarketProfile!A460,Data!$AS:$AS,"1")</f>
        <v>87376</v>
      </c>
      <c r="E460" s="376"/>
      <c r="F460" s="179">
        <f t="shared" si="42"/>
        <v>0.17549441494231827</v>
      </c>
      <c r="G460" s="376">
        <f>SUMIFS(Data!$BD:$BD,Data!$BB:$BB,MarketProfile!A460,Data!BG:BG,"1")</f>
        <v>91702</v>
      </c>
      <c r="H460" s="376"/>
      <c r="I460" s="179">
        <f t="shared" si="43"/>
        <v>0.12004100237726549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392</v>
      </c>
      <c r="D461" s="376">
        <f>SUMIFS(Data!$AP:$AP,Data!$AN:$AN,MarketProfile!A461,Data!$AS:$AS,"1")</f>
        <v>32</v>
      </c>
      <c r="E461" s="376"/>
      <c r="F461" s="179">
        <f t="shared" si="42"/>
        <v>11.25</v>
      </c>
      <c r="G461" s="376">
        <f>SUMIFS(Data!$BD:$BD,Data!$BB:$BB,MarketProfile!A461,Data!BG:BG,"1")</f>
        <v>175</v>
      </c>
      <c r="H461" s="376"/>
      <c r="I461" s="179">
        <f t="shared" si="43"/>
        <v>1.24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9</v>
      </c>
      <c r="D462" s="376">
        <f>SUMIFS(Data!$AP:$AP,Data!$AN:$AN,MarketProfile!A462,Data!$AS:$AS,"1")</f>
        <v>11</v>
      </c>
      <c r="E462" s="376"/>
      <c r="F462" s="179">
        <f t="shared" si="42"/>
        <v>-0.18181818181818182</v>
      </c>
      <c r="G462" s="376">
        <f>SUMIFS(Data!$BD:$BD,Data!$BB:$BB,MarketProfile!A462,Data!BG:BG,"1")</f>
        <v>1309</v>
      </c>
      <c r="H462" s="376"/>
      <c r="I462" s="179">
        <f t="shared" si="43"/>
        <v>-0.99312452253628725</v>
      </c>
    </row>
    <row r="463" spans="1:9" x14ac:dyDescent="0.2">
      <c r="A463" s="246" t="s">
        <v>187</v>
      </c>
      <c r="B463" s="247"/>
      <c r="C463" s="4">
        <f>SUM(C455:C462)</f>
        <v>224897</v>
      </c>
      <c r="D463" s="377">
        <f>SUM(D455:E462)</f>
        <v>175201</v>
      </c>
      <c r="E463" s="377">
        <f>SUM(E455:E462)</f>
        <v>0</v>
      </c>
      <c r="F463" s="166">
        <f t="shared" si="42"/>
        <v>0.28365134902198047</v>
      </c>
      <c r="G463" s="377">
        <f>SUM(G455:H462)</f>
        <v>206461</v>
      </c>
      <c r="H463" s="377">
        <f>SUM(H455:H462)</f>
        <v>0</v>
      </c>
      <c r="I463" s="166">
        <f t="shared" si="43"/>
        <v>8.9295314853652746E-2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76">
        <f>SUMIFS(Data!$AP:$AP,Data!$AN:$AN,MarketProfile!A465,Data!$AS:$AS,"0")</f>
        <v>0</v>
      </c>
      <c r="E465" s="376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376">
        <f>SUMIFS(Data!$BD:$BD,Data!$BB:$BB,MarketProfile!A465,Data!BG:BG,"0")</f>
        <v>0</v>
      </c>
      <c r="H465" s="376"/>
      <c r="I465" s="179" t="str">
        <f t="shared" ref="I465:I473" si="45">IFERROR(IF(OR(AND(G465="",C465=""),AND(G465=0,C465=0)),"",
IF(OR(G465="",G465=0),1,
IF(OR(G465&lt;&gt;"",G465&lt;&gt;0),(C465-G465)/ABS(G465)))),-1)</f>
        <v/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361</v>
      </c>
      <c r="D466" s="376">
        <f>SUMIFS(Data!$AP:$AP,Data!$AN:$AN,MarketProfile!A466,Data!$AS:$AS,"0")</f>
        <v>931</v>
      </c>
      <c r="E466" s="376"/>
      <c r="F466" s="179">
        <f t="shared" si="44"/>
        <v>-0.61224489795918369</v>
      </c>
      <c r="G466" s="376">
        <f>SUMIFS(Data!$BD:$BD,Data!$BB:$BB,MarketProfile!A466,Data!BG:BG,"0")</f>
        <v>1147</v>
      </c>
      <c r="H466" s="376"/>
      <c r="I466" s="179">
        <f t="shared" si="45"/>
        <v>-0.68526591107236268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7568</v>
      </c>
      <c r="D467" s="376">
        <f>SUMIFS(Data!$AP:$AP,Data!$AN:$AN,MarketProfile!A467,Data!$AS:$AS,"0")</f>
        <v>14456</v>
      </c>
      <c r="E467" s="376"/>
      <c r="F467" s="179">
        <f t="shared" si="44"/>
        <v>-0.4764803541781959</v>
      </c>
      <c r="G467" s="376">
        <f>SUMIFS(Data!$BD:$BD,Data!$BB:$BB,MarketProfile!A467,Data!BG:BG,"0")</f>
        <v>5930</v>
      </c>
      <c r="H467" s="376"/>
      <c r="I467" s="179">
        <f t="shared" si="45"/>
        <v>0.27622259696458684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6">
        <f>SUMIFS(Data!$AP:$AP,Data!$AN:$AN,MarketProfile!A468,Data!$AS:$AS,"0")</f>
        <v>0</v>
      </c>
      <c r="E468" s="376"/>
      <c r="F468" s="179" t="str">
        <f t="shared" si="44"/>
        <v/>
      </c>
      <c r="G468" s="376">
        <f>SUMIFS(Data!$BD:$BD,Data!$BB:$BB,MarketProfile!A468,Data!BG:BG,"0")</f>
        <v>0</v>
      </c>
      <c r="H468" s="376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404</v>
      </c>
      <c r="D469" s="376">
        <f>SUMIFS(Data!$AP:$AP,Data!$AN:$AN,MarketProfile!A469,Data!$AS:$AS,"0")</f>
        <v>349</v>
      </c>
      <c r="E469" s="376"/>
      <c r="F469" s="179">
        <f t="shared" si="44"/>
        <v>0.15759312320916904</v>
      </c>
      <c r="G469" s="376">
        <f>SUMIFS(Data!$BD:$BD,Data!$BB:$BB,MarketProfile!A469,Data!BG:BG,"0")</f>
        <v>803</v>
      </c>
      <c r="H469" s="376"/>
      <c r="I469" s="179">
        <f t="shared" si="45"/>
        <v>-0.49688667496886674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24444</v>
      </c>
      <c r="D470" s="376">
        <f>SUMIFS(Data!$AP:$AP,Data!$AN:$AN,MarketProfile!A470,Data!$AS:$AS,"0")</f>
        <v>33714</v>
      </c>
      <c r="E470" s="376"/>
      <c r="F470" s="179">
        <f t="shared" si="44"/>
        <v>-0.27495995728777362</v>
      </c>
      <c r="G470" s="376">
        <f>SUMIFS(Data!$BD:$BD,Data!$BB:$BB,MarketProfile!A470,Data!BG:BG,"0")</f>
        <v>14890</v>
      </c>
      <c r="H470" s="376"/>
      <c r="I470" s="179">
        <f t="shared" si="45"/>
        <v>0.6416386836803224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376">
        <f>SUMIFS(Data!$AP:$AP,Data!$AN:$AN,MarketProfile!A471,Data!$AS:$AS,"0")</f>
        <v>0</v>
      </c>
      <c r="E471" s="376"/>
      <c r="F471" s="179" t="str">
        <f t="shared" si="44"/>
        <v/>
      </c>
      <c r="G471" s="376">
        <f>SUMIFS(Data!$BD:$BD,Data!$BB:$BB,MarketProfile!A471,Data!BG:BG,"0")</f>
        <v>0</v>
      </c>
      <c r="H471" s="376"/>
      <c r="I471" s="179" t="str">
        <f t="shared" si="45"/>
        <v/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6">
        <f>SUMIFS(Data!$AP:$AP,Data!$AN:$AN,MarketProfile!A472,Data!$AS:$AS,"0")</f>
        <v>0</v>
      </c>
      <c r="E472" s="376"/>
      <c r="F472" s="179" t="str">
        <f t="shared" si="44"/>
        <v/>
      </c>
      <c r="G472" s="376">
        <f>SUMIFS(Data!$BD:$BD,Data!$BB:$BB,MarketProfile!A472,Data!BG:BG,"0")</f>
        <v>0</v>
      </c>
      <c r="H472" s="376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32777</v>
      </c>
      <c r="D473" s="377">
        <f>SUM(D465:E472)</f>
        <v>49450</v>
      </c>
      <c r="E473" s="377">
        <v>34213</v>
      </c>
      <c r="F473" s="166">
        <f t="shared" si="44"/>
        <v>-0.33716885743174924</v>
      </c>
      <c r="G473" s="377">
        <f>SUM(G465:H472)</f>
        <v>22770</v>
      </c>
      <c r="H473" s="377">
        <f>SUM(H465:H472)</f>
        <v>0</v>
      </c>
      <c r="I473" s="166">
        <f t="shared" si="45"/>
        <v>0.43948177426438295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4990950.8241800005</v>
      </c>
      <c r="D476" s="376">
        <f>SUMIFS(Data!$AO:$AO,Data!$AN:$AN,MarketProfile!A476,Data!$AS:$AS,"1")/1000</f>
        <v>2576898.5214</v>
      </c>
      <c r="E476" s="376"/>
      <c r="F476" s="179">
        <f t="shared" ref="F476:F484" si="46">IFERROR(IF(OR(AND(D476="",C476=""),AND(D476=0,C476=0)),"",
IF(OR(D476="",D476=0),1,
IF(OR(D476&lt;&gt;"",D476&lt;&gt;0),(C476-D476)/ABS(D476)))),-1)</f>
        <v>0.9368053428306804</v>
      </c>
      <c r="G476" s="376">
        <f>SUMIFS(Data!$BC:$BC,Data!$BB:$BB,MarketProfile!A476,Data!BG:BG,"1")/1000</f>
        <v>1933039.4173900001</v>
      </c>
      <c r="H476" s="376"/>
      <c r="I476" s="179">
        <f t="shared" ref="I476:I484" si="47">IFERROR(IF(OR(AND(G476="",C476=""),AND(G476=0,C476=0)),"",
IF(OR(G476="",G476=0),1,
IF(OR(G476&lt;&gt;"",G476&lt;&gt;0),(C476-G476)/ABS(G476)))),-1)</f>
        <v>1.5819188058352212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6842131.1053849999</v>
      </c>
      <c r="D477" s="376">
        <f>SUMIFS(Data!$AO:$AO,Data!$AN:$AN,MarketProfile!A477,Data!$AS:$AS,"1")/1000</f>
        <v>4987694.7231549993</v>
      </c>
      <c r="E477" s="376"/>
      <c r="F477" s="179">
        <f t="shared" si="46"/>
        <v>0.37180230249877133</v>
      </c>
      <c r="G477" s="376">
        <f>SUMIFS(Data!$BC:$BC,Data!$BB:$BB,MarketProfile!A477,Data!BG:BG,"1")/1000</f>
        <v>7191642.1484949999</v>
      </c>
      <c r="H477" s="376"/>
      <c r="I477" s="179">
        <f t="shared" si="47"/>
        <v>-4.8599615483251264E-2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14643420.91103</v>
      </c>
      <c r="D478" s="376">
        <f>SUMIFS(Data!$AO:$AO,Data!$AN:$AN,MarketProfile!A478,Data!$AS:$AS,"1")/1000</f>
        <v>12388317.84865999</v>
      </c>
      <c r="E478" s="376"/>
      <c r="F478" s="179">
        <f t="shared" si="46"/>
        <v>0.18203464666624919</v>
      </c>
      <c r="G478" s="376">
        <f>SUMIFS(Data!$BC:$BC,Data!$BB:$BB,MarketProfile!A478,Data!BG:BG,"1")/1000</f>
        <v>10725559.062450001</v>
      </c>
      <c r="H478" s="376"/>
      <c r="I478" s="179">
        <f t="shared" si="47"/>
        <v>0.36528276295604639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254113.5398</v>
      </c>
      <c r="D479" s="376">
        <f>SUMIFS(Data!$AO:$AO,Data!$AN:$AN,MarketProfile!A479,Data!$AS:$AS,"1")/1000</f>
        <v>51902.260036</v>
      </c>
      <c r="E479" s="376"/>
      <c r="F479" s="179">
        <f t="shared" si="46"/>
        <v>3.8960014385451416</v>
      </c>
      <c r="G479" s="376">
        <f>SUMIFS(Data!$BC:$BC,Data!$BB:$BB,MarketProfile!A479,Data!BG:BG,"1")/1000</f>
        <v>3833.47</v>
      </c>
      <c r="H479" s="376"/>
      <c r="I479" s="179">
        <f t="shared" si="47"/>
        <v>65.288125327705714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3282300.0425249999</v>
      </c>
      <c r="D480" s="376">
        <f>SUMIFS(Data!$AO:$AO,Data!$AN:$AN,MarketProfile!A480,Data!$AS:$AS,"1")/1000</f>
        <v>2856569.9482</v>
      </c>
      <c r="E480" s="376"/>
      <c r="F480" s="179">
        <f t="shared" si="46"/>
        <v>0.14903541731693415</v>
      </c>
      <c r="G480" s="376">
        <f>SUMIFS(Data!$BC:$BC,Data!$BB:$BB,MarketProfile!A480,Data!BG:BG,"1")/1000</f>
        <v>3686259.6877550003</v>
      </c>
      <c r="H480" s="376"/>
      <c r="I480" s="179">
        <f t="shared" si="47"/>
        <v>-0.10958523800476444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28796558.571279999</v>
      </c>
      <c r="D481" s="376">
        <f>SUMIFS(Data!$AO:$AO,Data!$AN:$AN,MarketProfile!A481,Data!$AS:$AS,"1")/1000</f>
        <v>26718359.010829989</v>
      </c>
      <c r="E481" s="376"/>
      <c r="F481" s="179">
        <f t="shared" si="46"/>
        <v>7.7781706563926134E-2</v>
      </c>
      <c r="G481" s="376">
        <f>SUMIFS(Data!$BC:$BC,Data!$BB:$BB,MarketProfile!A481,Data!BG:BG,"1")/1000</f>
        <v>17141510.07285</v>
      </c>
      <c r="H481" s="376"/>
      <c r="I481" s="179">
        <f t="shared" si="47"/>
        <v>0.67993125745030669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45905.390031999996</v>
      </c>
      <c r="D482" s="376">
        <f>SUMIFS(Data!$AO:$AO,Data!$AN:$AN,MarketProfile!A482,Data!$AS:$AS,"1")/1000</f>
        <v>3589.9899909999999</v>
      </c>
      <c r="E482" s="376"/>
      <c r="F482" s="179">
        <f t="shared" si="46"/>
        <v>11.787052372592532</v>
      </c>
      <c r="G482" s="376">
        <f>SUMIFS(Data!$BC:$BC,Data!$BB:$BB,MarketProfile!A482,Data!BG:BG,"1")/1000</f>
        <v>20754.760025</v>
      </c>
      <c r="H482" s="376"/>
      <c r="I482" s="179">
        <f t="shared" si="47"/>
        <v>1.211800568963697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728.94</v>
      </c>
      <c r="D483" s="376">
        <f>SUMIFS(Data!$AO:$AO,Data!$AN:$AN,MarketProfile!A483,Data!$AS:$AS,"1")/1000</f>
        <v>808.84</v>
      </c>
      <c r="E483" s="376"/>
      <c r="F483" s="179">
        <f t="shared" si="46"/>
        <v>-9.8783442955343428E-2</v>
      </c>
      <c r="G483" s="376">
        <f>SUMIFS(Data!$BC:$BC,Data!$BB:$BB,MarketProfile!A483,Data!BG:BG,"1")/1000</f>
        <v>98211.276469999997</v>
      </c>
      <c r="H483" s="376"/>
      <c r="I483" s="179">
        <f t="shared" si="47"/>
        <v>-0.99257783804263389</v>
      </c>
    </row>
    <row r="484" spans="1:9" x14ac:dyDescent="0.2">
      <c r="A484" s="246" t="s">
        <v>187</v>
      </c>
      <c r="B484" s="247"/>
      <c r="C484" s="4">
        <f>SUM(C476:C483)</f>
        <v>58856109.324231997</v>
      </c>
      <c r="D484" s="377">
        <f>SUM(D476:E483)</f>
        <v>49584141.142271981</v>
      </c>
      <c r="E484" s="377">
        <f>SUM(E476:E483)</f>
        <v>0</v>
      </c>
      <c r="F484" s="166">
        <f t="shared" si="46"/>
        <v>0.18699463111311981</v>
      </c>
      <c r="G484" s="377">
        <f>SUM(G476:H483)</f>
        <v>40800809.895434998</v>
      </c>
      <c r="H484" s="377">
        <f>SUM(H476:H483)</f>
        <v>0</v>
      </c>
      <c r="I484" s="166">
        <f t="shared" si="47"/>
        <v>0.4425230644947839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76">
        <f>SUMIFS(Data!$AO:$AO,Data!$AN:$AN,MarketProfile!A486,Data!$AS:$AS,"0")/1000</f>
        <v>0</v>
      </c>
      <c r="E486" s="376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376">
        <f>SUMIFS(Data!$BC:$BC,Data!$BB:$BB,MarketProfile!A486,Data!BG:BG,"0")/1000</f>
        <v>0</v>
      </c>
      <c r="H486" s="376"/>
      <c r="I486" s="179" t="str">
        <f t="shared" ref="I486:I494" si="49">IFERROR(IF(OR(AND(G486="",C486=""),AND(G486=0,C486=0)),"",
IF(OR(G486="",G486=0),1,
IF(OR(G486&lt;&gt;"",G486&lt;&gt;0),(C486-G486)/ABS(G486)))),-1)</f>
        <v/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1655.0992099999999</v>
      </c>
      <c r="D487" s="376">
        <f>SUMIFS(Data!$AO:$AO,Data!$AN:$AN,MarketProfile!A487,Data!$AS:$AS,"0")/1000</f>
        <v>4129.4872000000005</v>
      </c>
      <c r="E487" s="376"/>
      <c r="F487" s="179">
        <f t="shared" si="48"/>
        <v>-0.59919982074287581</v>
      </c>
      <c r="G487" s="376">
        <f>SUMIFS(Data!$BC:$BC,Data!$BB:$BB,MarketProfile!A487,Data!BG:BG,"0")/1000</f>
        <v>10071.117900000001</v>
      </c>
      <c r="H487" s="376"/>
      <c r="I487" s="179">
        <f t="shared" si="49"/>
        <v>-0.83565883882662118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57804.733780000002</v>
      </c>
      <c r="D488" s="376">
        <f>SUMIFS(Data!$AO:$AO,Data!$AN:$AN,MarketProfile!A488,Data!$AS:$AS,"0")/1000</f>
        <v>167399.56041999999</v>
      </c>
      <c r="E488" s="376"/>
      <c r="F488" s="179">
        <f t="shared" si="48"/>
        <v>-0.65469005035037231</v>
      </c>
      <c r="G488" s="376">
        <f>SUMIFS(Data!$BC:$BC,Data!$BB:$BB,MarketProfile!A488,Data!BG:BG,"0")/1000</f>
        <v>33384.187870000002</v>
      </c>
      <c r="H488" s="376"/>
      <c r="I488" s="179">
        <f t="shared" si="49"/>
        <v>0.73150037392238054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6">
        <f>SUMIFS(Data!$AO:$AO,Data!$AN:$AN,MarketProfile!A489,Data!$AS:$AS,"0")/1000</f>
        <v>0</v>
      </c>
      <c r="E489" s="376"/>
      <c r="F489" s="179" t="str">
        <f t="shared" si="48"/>
        <v/>
      </c>
      <c r="G489" s="376">
        <f>SUMIFS(Data!$BC:$BC,Data!$BB:$BB,MarketProfile!A489,Data!BG:BG,"0")/1000</f>
        <v>0</v>
      </c>
      <c r="H489" s="376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2150.84312</v>
      </c>
      <c r="D490" s="376">
        <f>SUMIFS(Data!$AO:$AO,Data!$AN:$AN,MarketProfile!A490,Data!$AS:$AS,"0")/1000</f>
        <v>4700.7476999999999</v>
      </c>
      <c r="E490" s="376"/>
      <c r="F490" s="179">
        <f t="shared" si="48"/>
        <v>-0.54244659418755869</v>
      </c>
      <c r="G490" s="376">
        <f>SUMIFS(Data!$BC:$BC,Data!$BB:$BB,MarketProfile!A490,Data!BG:BG,"0")/1000</f>
        <v>4513.8896699999996</v>
      </c>
      <c r="H490" s="376"/>
      <c r="I490" s="179">
        <f t="shared" si="49"/>
        <v>-0.52350560664013746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331492.57036000001</v>
      </c>
      <c r="D491" s="376">
        <f>SUMIFS(Data!$AO:$AO,Data!$AN:$AN,MarketProfile!A491,Data!$AS:$AS,"0")/1000</f>
        <v>1544587.24069999</v>
      </c>
      <c r="E491" s="376"/>
      <c r="F491" s="179">
        <f>IFERROR(IF(OR(AND(D491="",C491=""),AND(D491=0,C491=0)),"",
IF(OR(D491="",D491=0),1,
IF(OR(D491&lt;&gt;"",D491&lt;&gt;0),(C491-D491)/ABS(D491)))),-1)</f>
        <v>-0.78538436572234582</v>
      </c>
      <c r="G491" s="376">
        <f>SUMIFS(Data!$BC:$BC,Data!$BB:$BB,MarketProfile!A491,Data!BG:BG,"0")/1000</f>
        <v>97446.361259990008</v>
      </c>
      <c r="H491" s="376"/>
      <c r="I491" s="179">
        <f t="shared" si="49"/>
        <v>2.4017952653518506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376">
        <f>SUMIFS(Data!$AO:$AO,Data!$AN:$AN,MarketProfile!A492,Data!$AS:$AS,"0")/1000</f>
        <v>0</v>
      </c>
      <c r="E492" s="376"/>
      <c r="F492" s="179" t="str">
        <f t="shared" si="48"/>
        <v/>
      </c>
      <c r="G492" s="376">
        <f>SUMIFS(Data!$BC:$BC,Data!$BB:$BB,MarketProfile!A492,Data!BG:BG,"0")/1000</f>
        <v>0</v>
      </c>
      <c r="H492" s="376"/>
      <c r="I492" s="179" t="str">
        <f t="shared" si="49"/>
        <v/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6">
        <f>SUMIFS(Data!$AO:$AO,Data!$AN:$AN,MarketProfile!A493,Data!$AS:$AS,"0")/1000</f>
        <v>0</v>
      </c>
      <c r="E493" s="376"/>
      <c r="F493" s="179" t="str">
        <f t="shared" si="48"/>
        <v/>
      </c>
      <c r="G493" s="376">
        <f>SUMIFS(Data!$BC:$BC,Data!$BB:$BB,MarketProfile!A493,Data!BG:BG,"0")/1000</f>
        <v>0</v>
      </c>
      <c r="H493" s="376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393103.24647000001</v>
      </c>
      <c r="D494" s="377">
        <f>SUM(D486:E493)</f>
        <v>1720817.03601999</v>
      </c>
      <c r="E494" s="377">
        <f>SUM(E486:E493)</f>
        <v>0</v>
      </c>
      <c r="F494" s="166">
        <f t="shared" si="48"/>
        <v>-0.77156011461904572</v>
      </c>
      <c r="G494" s="377">
        <f>SUM(G486:H493)</f>
        <v>145415.55669999</v>
      </c>
      <c r="H494" s="377">
        <f>SUM(H486:H493)</f>
        <v>0</v>
      </c>
      <c r="I494" s="166">
        <f t="shared" si="49"/>
        <v>1.7033094353241713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7852</v>
      </c>
      <c r="D497" s="376">
        <f>SUMIFS(Data!$AY:$AY,Data!$AU:$AU,MarketProfile!A497,Data!$AZ:$AZ,"1")</f>
        <v>7705</v>
      </c>
      <c r="E497" s="376"/>
      <c r="F497" s="179">
        <f t="shared" ref="F497:F512" si="50">IFERROR(IF(OR(AND(D497="",C497=""),AND(D497=0,C497=0)),"",
IF(OR(D497="",D497=0),1,
IF(OR(D497&lt;&gt;"",D497&lt;&gt;0),(C497-D497)/ABS(D497)))),-1)</f>
        <v>1.9078520441271903E-2</v>
      </c>
      <c r="G497" s="376">
        <f>SUMIFS(Data!$BL:$BL,Data!$BH:$BH,MarketProfile!A497,Data!$BM:$BM,"1")</f>
        <v>14822</v>
      </c>
      <c r="H497" s="376"/>
      <c r="I497" s="179">
        <f t="shared" ref="I497:I504" si="51">IFERROR(IF(OR(AND(G497="",C497=""),AND(G497=0,C497=0)),"",
IF(OR(G497="",G497=0),1,
IF(OR(G497&lt;&gt;"",G497&lt;&gt;0),(C497-G497)/ABS(G497)))),-1)</f>
        <v>-0.47024693023883418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10873</v>
      </c>
      <c r="D498" s="376">
        <f>SUMIFS(Data!$AY:$AY,Data!$AU:$AU,MarketProfile!A498,Data!$AZ:$AZ,"1")</f>
        <v>11789</v>
      </c>
      <c r="E498" s="376"/>
      <c r="F498" s="179">
        <f t="shared" si="50"/>
        <v>-7.7699550428365419E-2</v>
      </c>
      <c r="G498" s="376">
        <f>SUMIFS(Data!$BL:$BL,Data!$BH:$BH,MarketProfile!A498,Data!$BM:$BM,"1")</f>
        <v>13713</v>
      </c>
      <c r="H498" s="376"/>
      <c r="I498" s="179">
        <f t="shared" si="51"/>
        <v>-0.20710274921607233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19106</v>
      </c>
      <c r="D499" s="376">
        <f>SUMIFS(Data!$AY:$AY,Data!$AU:$AU,MarketProfile!A499,Data!$AZ:$AZ,"1")</f>
        <v>22895</v>
      </c>
      <c r="E499" s="376"/>
      <c r="F499" s="179">
        <f t="shared" si="50"/>
        <v>-0.16549464948678752</v>
      </c>
      <c r="G499" s="376">
        <f>SUMIFS(Data!$BL:$BL,Data!$BH:$BH,MarketProfile!A499,Data!$BM:$BM,"1")</f>
        <v>18140</v>
      </c>
      <c r="H499" s="376"/>
      <c r="I499" s="179">
        <f t="shared" si="51"/>
        <v>5.3252480705622933E-2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682</v>
      </c>
      <c r="D500" s="376">
        <f>SUMIFS(Data!$AY:$AY,Data!$AU:$AU,MarketProfile!A500,Data!$AZ:$AZ,"1")</f>
        <v>692</v>
      </c>
      <c r="E500" s="376"/>
      <c r="F500" s="179">
        <f t="shared" si="50"/>
        <v>-1.4450867052023121E-2</v>
      </c>
      <c r="G500" s="376">
        <f>SUMIFS(Data!$BL:$BL,Data!$BH:$BH,MarketProfile!A500,Data!$BM:$BM,"1")</f>
        <v>34</v>
      </c>
      <c r="H500" s="376"/>
      <c r="I500" s="179">
        <f t="shared" si="51"/>
        <v>19.058823529411764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2564</v>
      </c>
      <c r="D501" s="376">
        <f>SUMIFS(Data!$AY:$AY,Data!$AU:$AU,MarketProfile!A501,Data!$AZ:$AZ,"1")</f>
        <v>3911</v>
      </c>
      <c r="E501" s="376"/>
      <c r="F501" s="179">
        <f t="shared" si="50"/>
        <v>-0.34441319355663513</v>
      </c>
      <c r="G501" s="376">
        <f>SUMIFS(Data!$BL:$BL,Data!$BH:$BH,MarketProfile!A501,Data!$BM:$BM,"1")</f>
        <v>5877</v>
      </c>
      <c r="H501" s="376"/>
      <c r="I501" s="179">
        <f t="shared" si="51"/>
        <v>-0.56372298791900632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22331</v>
      </c>
      <c r="D502" s="376">
        <f>SUMIFS(Data!$AY:$AY,Data!$AU:$AU,MarketProfile!A502,Data!$AZ:$AZ,"1")</f>
        <v>27242</v>
      </c>
      <c r="E502" s="376"/>
      <c r="F502" s="179">
        <f t="shared" si="50"/>
        <v>-0.18027310770134353</v>
      </c>
      <c r="G502" s="376">
        <f>SUMIFS(Data!$BL:$BL,Data!$BH:$BH,MarketProfile!A502,Data!$BM:$BM,"1")</f>
        <v>31132</v>
      </c>
      <c r="H502" s="376"/>
      <c r="I502" s="179">
        <f t="shared" si="51"/>
        <v>-0.28269947321084415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207</v>
      </c>
      <c r="D503" s="376">
        <f>SUMIFS(Data!$AY:$AY,Data!$AU:$AU,MarketProfile!A503,Data!$AZ:$AZ,"1")</f>
        <v>129</v>
      </c>
      <c r="E503" s="376"/>
      <c r="F503" s="179">
        <f t="shared" si="50"/>
        <v>0.60465116279069764</v>
      </c>
      <c r="G503" s="376">
        <f>SUMIFS(Data!$BL:$BL,Data!$BH:$BH,MarketProfile!A503,Data!$BM:$BM,"1")</f>
        <v>42</v>
      </c>
      <c r="H503" s="376"/>
      <c r="I503" s="179">
        <f t="shared" si="51"/>
        <v>3.9285714285714284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8</v>
      </c>
      <c r="D504" s="376">
        <f>SUMIFS(Data!$AY:$AY,Data!$AU:$AU,MarketProfile!A504,Data!$AZ:$AZ,"1")</f>
        <v>17</v>
      </c>
      <c r="E504" s="376"/>
      <c r="F504" s="179">
        <f t="shared" si="50"/>
        <v>-0.52941176470588236</v>
      </c>
      <c r="G504" s="376">
        <f>SUMIFS(Data!$BL:$BL,Data!$BH:$BH,MarketProfile!A504,Data!$BM:$BM,"1")</f>
        <v>132</v>
      </c>
      <c r="H504" s="376"/>
      <c r="I504" s="179">
        <f t="shared" si="51"/>
        <v>-0.93939393939393945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76">
        <f>SUMIFS(Data!$AY:$AY,Data!$AU:$AU,MarketProfile!A506,Data!$AZ:$AZ,"0")</f>
        <v>0</v>
      </c>
      <c r="E506" s="376"/>
      <c r="F506" s="179" t="str">
        <f t="shared" si="50"/>
        <v/>
      </c>
      <c r="G506" s="376">
        <f>SUMIFS(Data!$BL:$BL,Data!$BH:$BH,MarketProfile!A506,Data!$BM:$BM,"0")</f>
        <v>0</v>
      </c>
      <c r="H506" s="376"/>
      <c r="I506" s="179" t="str">
        <f t="shared" ref="I506:I513" si="52">IFERROR(IF(OR(AND(G506="",C506=""),AND(G506=0,C506=0)),"",
IF(OR(G506="",G506=0),1,
IF(OR(G506&lt;&gt;"",G506&lt;&gt;0),(C506-G506)/ABS(G506)))),-1)</f>
        <v/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2742</v>
      </c>
      <c r="D507" s="376">
        <f>SUMIFS(Data!$AY:$AY,Data!$AU:$AU,MarketProfile!A507,Data!$AZ:$AZ,"0")</f>
        <v>3233</v>
      </c>
      <c r="E507" s="376"/>
      <c r="F507" s="179">
        <f t="shared" si="50"/>
        <v>-0.15187132694092176</v>
      </c>
      <c r="G507" s="376">
        <f>SUMIFS(Data!$BL:$BL,Data!$BH:$BH,MarketProfile!A507,Data!$BM:$BM,"0")</f>
        <v>3534</v>
      </c>
      <c r="H507" s="376"/>
      <c r="I507" s="179">
        <f t="shared" si="52"/>
        <v>-0.22410865874363328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14900</v>
      </c>
      <c r="D508" s="376">
        <f>SUMIFS(Data!$AY:$AY,Data!$AU:$AU,MarketProfile!A508,Data!$AZ:$AZ,"0")</f>
        <v>21167</v>
      </c>
      <c r="E508" s="376"/>
      <c r="F508" s="179">
        <f t="shared" si="50"/>
        <v>-0.29607407757358151</v>
      </c>
      <c r="G508" s="376">
        <f>SUMIFS(Data!$BL:$BL,Data!$BH:$BH,MarketProfile!A508,Data!$BM:$BM,"0")</f>
        <v>10693</v>
      </c>
      <c r="H508" s="376"/>
      <c r="I508" s="179">
        <f t="shared" si="52"/>
        <v>0.39343495744879831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6">
        <f>SUMIFS(Data!$AY:$AY,Data!$AU:$AU,MarketProfile!A509,Data!$AZ:$AZ,"0")</f>
        <v>0</v>
      </c>
      <c r="E509" s="376"/>
      <c r="F509" s="179" t="str">
        <f t="shared" si="50"/>
        <v/>
      </c>
      <c r="G509" s="376">
        <f>SUMIFS(Data!$BL:$BL,Data!$BH:$BH,MarketProfile!A509,Data!$BM:$BM,"0")</f>
        <v>0</v>
      </c>
      <c r="H509" s="376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934</v>
      </c>
      <c r="D510" s="376">
        <f>SUMIFS(Data!$AY:$AY,Data!$AU:$AU,MarketProfile!A510,Data!$AZ:$AZ,"0")</f>
        <v>1708</v>
      </c>
      <c r="E510" s="376"/>
      <c r="F510" s="179">
        <f t="shared" si="50"/>
        <v>-0.4531615925058548</v>
      </c>
      <c r="G510" s="376">
        <f>SUMIFS(Data!$BL:$BL,Data!$BH:$BH,MarketProfile!A510,Data!$BM:$BM,"0")</f>
        <v>3962</v>
      </c>
      <c r="H510" s="376"/>
      <c r="I510" s="179">
        <f t="shared" si="52"/>
        <v>-0.76426047450782431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26841</v>
      </c>
      <c r="D511" s="376">
        <f>SUMIFS(Data!$AY:$AY,Data!$AU:$AU,MarketProfile!A511,Data!$AZ:$AZ,"0")</f>
        <v>55078</v>
      </c>
      <c r="E511" s="376"/>
      <c r="F511" s="179">
        <f t="shared" si="50"/>
        <v>-0.51267293656269286</v>
      </c>
      <c r="G511" s="376">
        <f>SUMIFS(Data!$BL:$BL,Data!$BH:$BH,MarketProfile!A511,Data!$BM:$BM,"0")</f>
        <v>21784</v>
      </c>
      <c r="H511" s="376"/>
      <c r="I511" s="179">
        <f t="shared" si="52"/>
        <v>0.23214285714285715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20</v>
      </c>
      <c r="D512" s="376">
        <f>SUMIFS(Data!$AY:$AY,Data!$AU:$AU,MarketProfile!A512,Data!$AZ:$AZ,"0")</f>
        <v>20</v>
      </c>
      <c r="E512" s="376"/>
      <c r="F512" s="179">
        <f t="shared" si="50"/>
        <v>0</v>
      </c>
      <c r="G512" s="376">
        <f>SUMIFS(Data!$BL:$BL,Data!$BH:$BH,MarketProfile!A512,Data!$BM:$BM,"0")</f>
        <v>50</v>
      </c>
      <c r="H512" s="376"/>
      <c r="I512" s="179">
        <f t="shared" si="52"/>
        <v>-0.6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6">
        <f>SUMIFS(Data!$AY:$AY,Data!$AU:$AU,MarketProfile!A513,Data!$AZ:$AZ,"0")</f>
        <v>0</v>
      </c>
      <c r="E513" s="376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6">
        <f>SUMIFS(Data!$BL:$BL,Data!$BH:$BH,MarketProfile!A513,Data!$BM:$BM,"0")</f>
        <v>0</v>
      </c>
      <c r="H513" s="376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2" max="16383" man="1"/>
    <brk id="169" max="16383" man="1"/>
    <brk id="247" max="16383" man="1"/>
    <brk id="332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535</v>
      </c>
      <c r="C1" s="188" t="s">
        <v>536</v>
      </c>
      <c r="D1" s="188" t="s">
        <v>537</v>
      </c>
      <c r="E1" s="153" t="s">
        <v>217</v>
      </c>
      <c r="F1" s="211" t="s">
        <v>537</v>
      </c>
      <c r="G1" s="211" t="s">
        <v>535</v>
      </c>
      <c r="H1" s="211" t="s">
        <v>536</v>
      </c>
      <c r="I1" s="153" t="s">
        <v>218</v>
      </c>
      <c r="J1" s="153" t="s">
        <v>220</v>
      </c>
      <c r="K1" s="235" t="s">
        <v>538</v>
      </c>
      <c r="L1" s="235" t="s">
        <v>539</v>
      </c>
      <c r="M1" s="237" t="s">
        <v>536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562</v>
      </c>
      <c r="T1" s="257" t="s">
        <v>563</v>
      </c>
      <c r="U1" s="257" t="s">
        <v>564</v>
      </c>
      <c r="V1" s="257" t="s">
        <v>565</v>
      </c>
      <c r="W1" s="257" t="s">
        <v>566</v>
      </c>
      <c r="X1" s="257" t="s">
        <v>567</v>
      </c>
      <c r="Y1" s="252" t="s">
        <v>458</v>
      </c>
      <c r="Z1" s="254" t="s">
        <v>521</v>
      </c>
      <c r="AA1" s="254" t="s">
        <v>563</v>
      </c>
      <c r="AB1" s="254" t="s">
        <v>564</v>
      </c>
      <c r="AC1" s="254" t="s">
        <v>565</v>
      </c>
      <c r="AD1" s="254" t="s">
        <v>566</v>
      </c>
      <c r="AE1" s="254" t="s">
        <v>567</v>
      </c>
      <c r="AF1" s="252" t="s">
        <v>466</v>
      </c>
      <c r="AG1" s="254" t="s">
        <v>521</v>
      </c>
      <c r="AH1" s="254" t="s">
        <v>563</v>
      </c>
      <c r="AI1" s="254" t="s">
        <v>564</v>
      </c>
      <c r="AJ1" s="254" t="s">
        <v>565</v>
      </c>
      <c r="AK1" s="254" t="s">
        <v>566</v>
      </c>
      <c r="AL1" s="254" t="s">
        <v>567</v>
      </c>
      <c r="AM1" s="252" t="s">
        <v>460</v>
      </c>
      <c r="AN1" s="254" t="s">
        <v>521</v>
      </c>
      <c r="AO1" s="254" t="s">
        <v>563</v>
      </c>
      <c r="AP1" s="254" t="s">
        <v>564</v>
      </c>
      <c r="AQ1" s="254" t="s">
        <v>565</v>
      </c>
      <c r="AR1" s="254" t="s">
        <v>566</v>
      </c>
      <c r="AS1" s="254" t="s">
        <v>567</v>
      </c>
      <c r="AT1" s="252" t="s">
        <v>467</v>
      </c>
      <c r="AU1" s="254" t="s">
        <v>521</v>
      </c>
      <c r="AV1" s="254" t="s">
        <v>563</v>
      </c>
      <c r="AW1" s="254" t="s">
        <v>564</v>
      </c>
      <c r="AX1" s="254" t="s">
        <v>565</v>
      </c>
      <c r="AY1" s="254" t="s">
        <v>566</v>
      </c>
      <c r="AZ1" s="254" t="s">
        <v>567</v>
      </c>
      <c r="BA1" s="252" t="s">
        <v>459</v>
      </c>
      <c r="BB1" s="254" t="s">
        <v>521</v>
      </c>
      <c r="BC1" s="254" t="s">
        <v>563</v>
      </c>
      <c r="BD1" s="254" t="s">
        <v>564</v>
      </c>
      <c r="BE1" s="254" t="s">
        <v>565</v>
      </c>
      <c r="BF1" s="254" t="s">
        <v>566</v>
      </c>
      <c r="BG1" s="254" t="s">
        <v>567</v>
      </c>
      <c r="BH1" s="252" t="s">
        <v>521</v>
      </c>
      <c r="BI1" s="254" t="s">
        <v>563</v>
      </c>
      <c r="BJ1" s="254" t="s">
        <v>564</v>
      </c>
      <c r="BK1" s="254" t="s">
        <v>565</v>
      </c>
      <c r="BL1" s="254" t="s">
        <v>566</v>
      </c>
      <c r="BM1" s="254" t="s">
        <v>567</v>
      </c>
      <c r="BN1" s="254"/>
      <c r="BO1" s="252" t="s">
        <v>468</v>
      </c>
      <c r="BP1" s="264" t="s">
        <v>563</v>
      </c>
      <c r="BQ1" s="264" t="s">
        <v>564</v>
      </c>
      <c r="BR1" s="264" t="s">
        <v>565</v>
      </c>
      <c r="BS1" s="261" t="s">
        <v>501</v>
      </c>
      <c r="BT1" s="266" t="s">
        <v>620</v>
      </c>
      <c r="BU1" s="266" t="s">
        <v>621</v>
      </c>
      <c r="BV1" s="266" t="s">
        <v>622</v>
      </c>
      <c r="BW1" s="266" t="s">
        <v>623</v>
      </c>
      <c r="BX1" s="266" t="s">
        <v>624</v>
      </c>
      <c r="BY1" s="266" t="s">
        <v>625</v>
      </c>
      <c r="BZ1" s="266" t="s">
        <v>626</v>
      </c>
      <c r="CA1" s="266" t="s">
        <v>627</v>
      </c>
      <c r="CB1" s="266" t="s">
        <v>628</v>
      </c>
      <c r="CC1" s="267" t="s">
        <v>502</v>
      </c>
      <c r="CD1" s="268" t="s">
        <v>633</v>
      </c>
      <c r="CE1" s="268" t="s">
        <v>634</v>
      </c>
      <c r="CF1" s="267" t="s">
        <v>507</v>
      </c>
      <c r="CG1" s="266" t="s">
        <v>6</v>
      </c>
      <c r="CH1" s="266" t="s">
        <v>635</v>
      </c>
      <c r="CI1" s="267" t="s">
        <v>509</v>
      </c>
      <c r="CJ1" s="247" t="s">
        <v>117</v>
      </c>
      <c r="CK1" s="247">
        <v>24912</v>
      </c>
      <c r="CL1" s="267" t="s">
        <v>512</v>
      </c>
      <c r="CM1" s="247" t="s">
        <v>117</v>
      </c>
      <c r="CN1" s="247">
        <v>15093</v>
      </c>
      <c r="CO1" s="267" t="s">
        <v>515</v>
      </c>
      <c r="CP1" s="247" t="s">
        <v>117</v>
      </c>
      <c r="CQ1" s="247">
        <v>874</v>
      </c>
      <c r="CR1" s="267" t="s">
        <v>518</v>
      </c>
      <c r="CS1" s="276" t="s">
        <v>639</v>
      </c>
      <c r="CT1" s="275" t="s">
        <v>640</v>
      </c>
      <c r="CU1" s="275" t="s">
        <v>641</v>
      </c>
      <c r="CV1" s="275" t="s">
        <v>642</v>
      </c>
      <c r="CW1" s="275" t="s">
        <v>643</v>
      </c>
      <c r="CX1" s="275" t="s">
        <v>644</v>
      </c>
      <c r="CY1" s="275" t="s">
        <v>645</v>
      </c>
      <c r="CZ1" s="275" t="s">
        <v>646</v>
      </c>
      <c r="DA1" s="275" t="s">
        <v>647</v>
      </c>
      <c r="DB1" s="275" t="s">
        <v>648</v>
      </c>
      <c r="DC1" s="275" t="s">
        <v>649</v>
      </c>
      <c r="DD1" s="275" t="s">
        <v>650</v>
      </c>
      <c r="DF1" s="354" t="s">
        <v>529</v>
      </c>
      <c r="DG1" s="345" t="s">
        <v>659</v>
      </c>
      <c r="DH1" s="345" t="s">
        <v>660</v>
      </c>
      <c r="DI1" s="354" t="s">
        <v>530</v>
      </c>
      <c r="DJ1" s="352" t="s">
        <v>659</v>
      </c>
      <c r="DK1" s="352" t="s">
        <v>660</v>
      </c>
      <c r="DL1" s="354" t="s">
        <v>531</v>
      </c>
      <c r="DM1" s="347" t="s">
        <v>659</v>
      </c>
      <c r="DN1" s="347" t="s">
        <v>660</v>
      </c>
    </row>
    <row r="2" spans="1:118" x14ac:dyDescent="0.2">
      <c r="B2" s="188">
        <v>6756156827</v>
      </c>
      <c r="C2" s="188">
        <v>384434737045.02533</v>
      </c>
      <c r="D2" s="188">
        <v>5835845</v>
      </c>
      <c r="E2" s="209"/>
      <c r="F2" s="211">
        <v>891</v>
      </c>
      <c r="G2" s="211">
        <v>552958902</v>
      </c>
      <c r="H2" s="211">
        <v>21405447134.010357</v>
      </c>
      <c r="J2" s="152" t="str">
        <f>K2&amp;L2</f>
        <v>ABuy</v>
      </c>
      <c r="K2" s="234" t="s">
        <v>540</v>
      </c>
      <c r="L2" s="234" t="s">
        <v>541</v>
      </c>
      <c r="M2" s="238">
        <v>140818933110.24924</v>
      </c>
      <c r="O2" s="241">
        <v>75445602730.330002</v>
      </c>
      <c r="P2" s="241">
        <v>-74980796472.529999</v>
      </c>
      <c r="Q2" s="241">
        <v>464806257.80000001</v>
      </c>
      <c r="S2" s="253" t="s">
        <v>568</v>
      </c>
      <c r="T2" s="258">
        <v>0</v>
      </c>
      <c r="U2" s="258">
        <v>0</v>
      </c>
      <c r="V2" s="258">
        <v>0</v>
      </c>
      <c r="W2" s="258">
        <v>0</v>
      </c>
      <c r="X2" s="258">
        <v>1</v>
      </c>
      <c r="Y2" s="245"/>
      <c r="Z2" s="253" t="s">
        <v>569</v>
      </c>
      <c r="AA2" s="253">
        <v>1655144.2</v>
      </c>
      <c r="AB2" s="253">
        <v>392</v>
      </c>
      <c r="AC2" s="253">
        <v>19</v>
      </c>
      <c r="AD2" s="253">
        <v>66109</v>
      </c>
      <c r="AE2" s="253">
        <v>0</v>
      </c>
      <c r="AF2" s="253"/>
      <c r="AG2" s="253" t="s">
        <v>569</v>
      </c>
      <c r="AH2" s="253">
        <v>564480</v>
      </c>
      <c r="AI2" s="253">
        <v>120</v>
      </c>
      <c r="AJ2" s="253">
        <v>3</v>
      </c>
      <c r="AK2" s="253">
        <v>1102</v>
      </c>
      <c r="AL2" s="253">
        <v>0</v>
      </c>
      <c r="AM2" s="245"/>
      <c r="AN2" s="253" t="s">
        <v>569</v>
      </c>
      <c r="AO2" s="253">
        <v>4520493.0999999996</v>
      </c>
      <c r="AP2" s="253">
        <v>1142</v>
      </c>
      <c r="AQ2" s="253">
        <v>33</v>
      </c>
      <c r="AR2" s="253">
        <v>75824</v>
      </c>
      <c r="AS2" s="253">
        <v>0</v>
      </c>
      <c r="AT2" s="245"/>
      <c r="AU2" s="253" t="s">
        <v>569</v>
      </c>
      <c r="AV2" s="253">
        <v>415440</v>
      </c>
      <c r="AW2" s="253">
        <v>80</v>
      </c>
      <c r="AX2" s="253">
        <v>2</v>
      </c>
      <c r="AY2" s="253">
        <v>3913</v>
      </c>
      <c r="AZ2" s="253">
        <v>0</v>
      </c>
      <c r="BA2" s="245"/>
      <c r="BB2" s="253" t="s">
        <v>569</v>
      </c>
      <c r="BC2" s="253">
        <v>1029432</v>
      </c>
      <c r="BD2" s="253">
        <v>218</v>
      </c>
      <c r="BE2" s="253">
        <v>20</v>
      </c>
      <c r="BF2" s="253">
        <v>11703</v>
      </c>
      <c r="BG2" s="253">
        <v>0</v>
      </c>
      <c r="BH2" s="247" t="s">
        <v>569</v>
      </c>
      <c r="BI2" s="253">
        <v>0</v>
      </c>
      <c r="BJ2" s="253">
        <v>0</v>
      </c>
      <c r="BK2" s="253">
        <v>0</v>
      </c>
      <c r="BL2" s="253">
        <v>248</v>
      </c>
      <c r="BM2" s="253">
        <v>0</v>
      </c>
      <c r="BN2" s="253"/>
      <c r="BO2" s="245"/>
      <c r="BP2" s="263">
        <v>573457641230.4375</v>
      </c>
      <c r="BQ2" s="263">
        <v>6077096</v>
      </c>
      <c r="BR2" s="263">
        <v>515564</v>
      </c>
      <c r="BS2" s="245"/>
      <c r="BT2" s="265" t="s">
        <v>139</v>
      </c>
      <c r="BU2" s="265">
        <v>44</v>
      </c>
      <c r="BV2" s="265">
        <v>0</v>
      </c>
      <c r="BW2" s="265">
        <v>2</v>
      </c>
      <c r="BX2" s="265">
        <v>0</v>
      </c>
      <c r="BY2" s="265">
        <v>0</v>
      </c>
      <c r="BZ2" s="265">
        <v>42</v>
      </c>
      <c r="CA2" s="265">
        <v>35</v>
      </c>
      <c r="CB2" s="265">
        <v>9</v>
      </c>
      <c r="CC2" s="245"/>
      <c r="CD2" s="269">
        <v>896</v>
      </c>
      <c r="CE2" s="269">
        <v>15663610794592.871</v>
      </c>
      <c r="CF2" s="245"/>
      <c r="CG2" s="265">
        <v>2019</v>
      </c>
      <c r="CH2" s="265">
        <v>20</v>
      </c>
      <c r="CI2" s="245"/>
      <c r="CJ2" s="247" t="s">
        <v>637</v>
      </c>
      <c r="CK2" s="247">
        <v>857224309950</v>
      </c>
      <c r="CL2" s="247"/>
      <c r="CM2" s="247" t="s">
        <v>637</v>
      </c>
      <c r="CN2" s="247">
        <v>2066359255802</v>
      </c>
      <c r="CO2" s="247"/>
      <c r="CP2" s="247" t="s">
        <v>637</v>
      </c>
      <c r="CQ2" s="247">
        <v>59076084878</v>
      </c>
      <c r="CR2" s="245"/>
      <c r="CS2" s="277">
        <v>2019</v>
      </c>
      <c r="CT2" s="275">
        <v>19</v>
      </c>
      <c r="CU2" s="275" t="s">
        <v>651</v>
      </c>
      <c r="CV2" s="275">
        <v>0</v>
      </c>
      <c r="CW2" s="275">
        <v>8889376303</v>
      </c>
      <c r="CX2" s="275">
        <v>732</v>
      </c>
      <c r="CY2" s="275">
        <v>0</v>
      </c>
      <c r="CZ2" s="275">
        <v>34436533156</v>
      </c>
      <c r="DA2" s="275">
        <v>417</v>
      </c>
      <c r="DB2" s="275">
        <v>0</v>
      </c>
      <c r="DC2" s="275">
        <v>25547156853</v>
      </c>
      <c r="DD2" s="275">
        <v>315</v>
      </c>
      <c r="DG2" s="346" t="s">
        <v>661</v>
      </c>
      <c r="DH2" s="344">
        <v>814378072.39999998</v>
      </c>
      <c r="DJ2" s="350" t="s">
        <v>666</v>
      </c>
      <c r="DK2" s="348">
        <v>299999994</v>
      </c>
      <c r="DM2" s="349" t="s">
        <v>661</v>
      </c>
      <c r="DN2" s="351">
        <v>2035431090.6900001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542</v>
      </c>
      <c r="L3" s="234" t="s">
        <v>541</v>
      </c>
      <c r="M3" s="238">
        <v>243615803934.77609</v>
      </c>
      <c r="N3" s="136"/>
      <c r="O3" s="239"/>
      <c r="P3" s="239"/>
      <c r="Q3" s="239"/>
      <c r="S3" s="253" t="s">
        <v>451</v>
      </c>
      <c r="T3" s="258">
        <v>26567646.699999999</v>
      </c>
      <c r="U3" s="258">
        <v>21872</v>
      </c>
      <c r="V3" s="258">
        <v>59</v>
      </c>
      <c r="W3" s="258">
        <v>458897</v>
      </c>
      <c r="X3" s="258">
        <v>0</v>
      </c>
      <c r="Y3" s="245"/>
      <c r="Z3" s="253" t="s">
        <v>570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570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570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570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613</v>
      </c>
      <c r="BC3" s="253">
        <v>0</v>
      </c>
      <c r="BD3" s="253">
        <v>0</v>
      </c>
      <c r="BE3" s="253">
        <v>0</v>
      </c>
      <c r="BF3" s="253">
        <v>0</v>
      </c>
      <c r="BG3" s="253">
        <v>0</v>
      </c>
      <c r="BH3" s="247" t="s">
        <v>613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629</v>
      </c>
      <c r="BU3" s="265">
        <v>1</v>
      </c>
      <c r="BV3" s="265">
        <v>0</v>
      </c>
      <c r="BW3" s="265">
        <v>0</v>
      </c>
      <c r="BX3" s="265">
        <v>0</v>
      </c>
      <c r="BY3" s="265">
        <v>0</v>
      </c>
      <c r="BZ3" s="265">
        <v>1</v>
      </c>
      <c r="CA3" s="265">
        <v>1</v>
      </c>
      <c r="CB3" s="265">
        <v>0</v>
      </c>
      <c r="CC3" s="245"/>
      <c r="CD3" s="245"/>
      <c r="CE3" s="245"/>
      <c r="CF3" s="245"/>
      <c r="CG3" s="265">
        <v>2018</v>
      </c>
      <c r="CH3" s="265">
        <v>20</v>
      </c>
      <c r="CI3" s="245"/>
      <c r="CJ3" s="247" t="s">
        <v>638</v>
      </c>
      <c r="CK3" s="247">
        <v>864106529068.05115</v>
      </c>
      <c r="CL3" s="247"/>
      <c r="CM3" s="247" t="s">
        <v>638</v>
      </c>
      <c r="CN3" s="247">
        <v>1973093082019.5398</v>
      </c>
      <c r="CO3" s="247"/>
      <c r="CP3" s="247" t="s">
        <v>638</v>
      </c>
      <c r="CQ3" s="247">
        <v>23884527566.509998</v>
      </c>
      <c r="CR3" s="245"/>
      <c r="CS3" s="277">
        <v>2019</v>
      </c>
      <c r="CT3" s="275">
        <v>25</v>
      </c>
      <c r="CU3" s="275" t="s">
        <v>652</v>
      </c>
      <c r="CV3" s="275">
        <v>160700053803.7999</v>
      </c>
      <c r="CW3" s="275">
        <v>173359049000</v>
      </c>
      <c r="CX3" s="275">
        <v>1086</v>
      </c>
      <c r="CY3" s="275">
        <v>209850528166.54996</v>
      </c>
      <c r="CZ3" s="275">
        <v>223157000000</v>
      </c>
      <c r="DA3" s="275">
        <v>955</v>
      </c>
      <c r="DB3" s="275">
        <v>49150474362.750015</v>
      </c>
      <c r="DC3" s="275">
        <v>49797951000</v>
      </c>
      <c r="DD3" s="275">
        <v>131</v>
      </c>
      <c r="DG3" s="346" t="s">
        <v>662</v>
      </c>
      <c r="DH3" s="344">
        <v>1567529689.8199999</v>
      </c>
      <c r="DJ3" s="350" t="s">
        <v>661</v>
      </c>
      <c r="DK3" s="348">
        <v>814378072.39999998</v>
      </c>
      <c r="DM3" s="349" t="s">
        <v>662</v>
      </c>
      <c r="DN3" s="351">
        <v>2142445855.1199999</v>
      </c>
    </row>
    <row r="4" spans="1:118" x14ac:dyDescent="0.2">
      <c r="A4" s="148" t="s">
        <v>211</v>
      </c>
      <c r="B4" s="188" t="s">
        <v>535</v>
      </c>
      <c r="C4" s="188" t="s">
        <v>536</v>
      </c>
      <c r="D4" s="188" t="s">
        <v>537</v>
      </c>
      <c r="E4" s="209"/>
      <c r="F4" s="211" t="s">
        <v>537</v>
      </c>
      <c r="G4" s="211" t="s">
        <v>535</v>
      </c>
      <c r="H4" s="211" t="s">
        <v>536</v>
      </c>
      <c r="J4" s="152" t="str">
        <f t="shared" si="0"/>
        <v>ASell</v>
      </c>
      <c r="K4" s="234" t="s">
        <v>540</v>
      </c>
      <c r="L4" s="234" t="s">
        <v>543</v>
      </c>
      <c r="M4" s="238">
        <v>146076852207.34375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2746297860.5289998</v>
      </c>
      <c r="U4" s="258">
        <v>67659</v>
      </c>
      <c r="V4" s="258">
        <v>118</v>
      </c>
      <c r="W4" s="258">
        <v>136802</v>
      </c>
      <c r="X4" s="258">
        <v>1</v>
      </c>
      <c r="Y4" s="245"/>
      <c r="Z4" s="253" t="s">
        <v>571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571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571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571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570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570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563</v>
      </c>
      <c r="BQ4" s="264" t="s">
        <v>564</v>
      </c>
      <c r="BR4" s="264" t="s">
        <v>565</v>
      </c>
      <c r="BS4" s="245"/>
      <c r="BT4" s="265" t="s">
        <v>630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633</v>
      </c>
      <c r="CE4" s="270" t="s">
        <v>634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2019</v>
      </c>
      <c r="CT4" s="275">
        <v>25</v>
      </c>
      <c r="CU4" s="275" t="s">
        <v>653</v>
      </c>
      <c r="CV4" s="275">
        <v>-155620386520.98999</v>
      </c>
      <c r="CW4" s="275">
        <v>-169091349000</v>
      </c>
      <c r="CX4" s="275">
        <v>1047</v>
      </c>
      <c r="CY4" s="275">
        <v>47454117718.510002</v>
      </c>
      <c r="CZ4" s="275">
        <v>47856451000</v>
      </c>
      <c r="DA4" s="275">
        <v>120</v>
      </c>
      <c r="DB4" s="275">
        <v>203074504239.50006</v>
      </c>
      <c r="DC4" s="275">
        <v>216947800000</v>
      </c>
      <c r="DD4" s="275">
        <v>927</v>
      </c>
      <c r="DG4" s="346" t="s">
        <v>663</v>
      </c>
      <c r="DH4" s="344">
        <v>1829052.15</v>
      </c>
      <c r="DJ4" s="350" t="s">
        <v>662</v>
      </c>
      <c r="DK4" s="348">
        <v>1567596689.8199999</v>
      </c>
      <c r="DM4" s="349" t="s">
        <v>663</v>
      </c>
      <c r="DN4" s="351">
        <v>22572458.41</v>
      </c>
    </row>
    <row r="5" spans="1:118" x14ac:dyDescent="0.2">
      <c r="B5" s="188">
        <v>12424288711</v>
      </c>
      <c r="C5" s="188">
        <v>753544559585.62573</v>
      </c>
      <c r="D5" s="194">
        <v>11564325</v>
      </c>
      <c r="E5" s="209"/>
      <c r="F5" s="211">
        <v>1987</v>
      </c>
      <c r="G5" s="211">
        <v>1002539576</v>
      </c>
      <c r="H5" s="225">
        <v>38996248370.920731</v>
      </c>
      <c r="J5" s="152" t="str">
        <f t="shared" si="0"/>
        <v>PSell</v>
      </c>
      <c r="K5" s="234" t="s">
        <v>542</v>
      </c>
      <c r="L5" s="234" t="s">
        <v>543</v>
      </c>
      <c r="M5" s="238">
        <v>238357884837.68161</v>
      </c>
      <c r="N5" s="136"/>
      <c r="O5" s="241">
        <v>148622947339.07999</v>
      </c>
      <c r="P5" s="241">
        <v>-163099988205.31</v>
      </c>
      <c r="Q5" s="241">
        <v>-14477040866.23</v>
      </c>
      <c r="S5" s="253" t="s">
        <v>448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572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572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572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572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571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571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6801238269.6199999</v>
      </c>
      <c r="BQ5" s="263">
        <v>2174353</v>
      </c>
      <c r="BR5" s="263">
        <v>2449</v>
      </c>
      <c r="BS5" s="245"/>
      <c r="BT5" s="265" t="s">
        <v>631</v>
      </c>
      <c r="BU5" s="265">
        <v>318</v>
      </c>
      <c r="BV5" s="265">
        <v>1</v>
      </c>
      <c r="BW5" s="265">
        <v>5</v>
      </c>
      <c r="BX5" s="265">
        <v>0</v>
      </c>
      <c r="BY5" s="265">
        <v>0</v>
      </c>
      <c r="BZ5" s="265">
        <v>314</v>
      </c>
      <c r="CA5" s="265">
        <v>255</v>
      </c>
      <c r="CB5" s="265">
        <v>63</v>
      </c>
      <c r="CC5" s="245"/>
      <c r="CD5" s="271">
        <v>810</v>
      </c>
      <c r="CE5" s="271">
        <v>14791719072200.008</v>
      </c>
      <c r="CF5" s="267" t="s">
        <v>508</v>
      </c>
      <c r="CG5" s="266" t="s">
        <v>6</v>
      </c>
      <c r="CH5" s="266" t="s">
        <v>635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2019</v>
      </c>
      <c r="CT5" s="275">
        <v>120</v>
      </c>
      <c r="CU5" s="275" t="s">
        <v>654</v>
      </c>
      <c r="CV5" s="275">
        <v>-9506410901.9300003</v>
      </c>
      <c r="CW5" s="275">
        <v>-9359186317</v>
      </c>
      <c r="CX5" s="275">
        <v>957</v>
      </c>
      <c r="CY5" s="275">
        <v>13202477473.340017</v>
      </c>
      <c r="CZ5" s="275">
        <v>12433186883</v>
      </c>
      <c r="DA5" s="275">
        <v>514</v>
      </c>
      <c r="DB5" s="275">
        <v>22708888375.269993</v>
      </c>
      <c r="DC5" s="275">
        <v>21792373200</v>
      </c>
      <c r="DD5" s="275">
        <v>443</v>
      </c>
      <c r="DG5" s="346" t="s">
        <v>664</v>
      </c>
      <c r="DH5" s="344">
        <v>69053344.859999999</v>
      </c>
      <c r="DJ5" s="350" t="s">
        <v>663</v>
      </c>
      <c r="DK5" s="348">
        <v>3694660.95</v>
      </c>
      <c r="DM5" s="349" t="s">
        <v>664</v>
      </c>
      <c r="DN5" s="351">
        <v>144030899.47999999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448</v>
      </c>
      <c r="T6" s="258">
        <v>628320</v>
      </c>
      <c r="U6" s="258">
        <v>210596</v>
      </c>
      <c r="V6" s="258">
        <v>4206</v>
      </c>
      <c r="W6" s="258">
        <v>766889</v>
      </c>
      <c r="X6" s="258">
        <v>1</v>
      </c>
      <c r="Y6" s="245"/>
      <c r="Z6" s="253" t="s">
        <v>573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573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573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573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572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572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632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2019</v>
      </c>
      <c r="CH6" s="265">
        <v>42</v>
      </c>
      <c r="CI6" s="267" t="s">
        <v>510</v>
      </c>
      <c r="CJ6" s="247" t="s">
        <v>117</v>
      </c>
      <c r="CK6" s="247">
        <v>44311</v>
      </c>
      <c r="CL6" s="267" t="s">
        <v>513</v>
      </c>
      <c r="CM6" s="247" t="s">
        <v>117</v>
      </c>
      <c r="CN6" s="247">
        <v>29525</v>
      </c>
      <c r="CO6" s="267" t="s">
        <v>516</v>
      </c>
      <c r="CP6" s="247" t="s">
        <v>117</v>
      </c>
      <c r="CQ6" s="247">
        <v>1603</v>
      </c>
      <c r="CR6" s="245"/>
      <c r="CS6" s="277">
        <v>2019</v>
      </c>
      <c r="CT6" s="275">
        <v>90</v>
      </c>
      <c r="CU6" s="275" t="s">
        <v>655</v>
      </c>
      <c r="CV6" s="275">
        <v>23729804217.419968</v>
      </c>
      <c r="CW6" s="275">
        <v>25343870376</v>
      </c>
      <c r="CX6" s="275">
        <v>5063</v>
      </c>
      <c r="CY6" s="275">
        <v>183404937122.80026</v>
      </c>
      <c r="CZ6" s="275">
        <v>181726862242</v>
      </c>
      <c r="DA6" s="275">
        <v>2662</v>
      </c>
      <c r="DB6" s="275">
        <v>159675132905.37976</v>
      </c>
      <c r="DC6" s="275">
        <v>156382991866</v>
      </c>
      <c r="DD6" s="275">
        <v>2401</v>
      </c>
      <c r="DG6" s="346" t="s">
        <v>665</v>
      </c>
      <c r="DH6" s="344">
        <v>132000000</v>
      </c>
      <c r="DJ6" s="350" t="s">
        <v>664</v>
      </c>
      <c r="DK6" s="348">
        <v>114723504.55</v>
      </c>
      <c r="DM6" s="349" t="s">
        <v>665</v>
      </c>
      <c r="DN6" s="351">
        <v>1062999997.08</v>
      </c>
    </row>
    <row r="7" spans="1:118" x14ac:dyDescent="0.2">
      <c r="A7" s="148" t="s">
        <v>212</v>
      </c>
      <c r="B7" s="188" t="s">
        <v>535</v>
      </c>
      <c r="C7" s="188" t="s">
        <v>536</v>
      </c>
      <c r="D7" s="188" t="s">
        <v>537</v>
      </c>
      <c r="E7" s="209"/>
      <c r="F7" s="211" t="s">
        <v>537</v>
      </c>
      <c r="G7" s="211" t="s">
        <v>535</v>
      </c>
      <c r="H7" s="211" t="s">
        <v>536</v>
      </c>
      <c r="I7" s="153" t="s">
        <v>219</v>
      </c>
      <c r="J7" s="148" t="s">
        <v>220</v>
      </c>
      <c r="K7" s="235" t="s">
        <v>538</v>
      </c>
      <c r="L7" s="235" t="s">
        <v>539</v>
      </c>
      <c r="M7" s="237" t="s">
        <v>536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182</v>
      </c>
      <c r="T7" s="258">
        <v>42395511.296999998</v>
      </c>
      <c r="U7" s="258">
        <v>1485646</v>
      </c>
      <c r="V7" s="258">
        <v>210</v>
      </c>
      <c r="W7" s="258">
        <v>1182665</v>
      </c>
      <c r="X7" s="258">
        <v>1</v>
      </c>
      <c r="Y7" s="245"/>
      <c r="Z7" s="253" t="s">
        <v>574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574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574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574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573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573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563</v>
      </c>
      <c r="BQ7" s="264" t="s">
        <v>564</v>
      </c>
      <c r="BR7" s="264" t="s">
        <v>565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2018</v>
      </c>
      <c r="CH7" s="265">
        <v>42</v>
      </c>
      <c r="CI7" s="245"/>
      <c r="CJ7" s="247" t="s">
        <v>637</v>
      </c>
      <c r="CK7" s="247">
        <v>1472731124065</v>
      </c>
      <c r="CL7" s="247"/>
      <c r="CM7" s="247" t="s">
        <v>637</v>
      </c>
      <c r="CN7" s="247">
        <v>4030662861451</v>
      </c>
      <c r="CO7" s="247"/>
      <c r="CP7" s="247" t="s">
        <v>637</v>
      </c>
      <c r="CQ7" s="247">
        <v>108910940418</v>
      </c>
      <c r="CR7" s="245"/>
      <c r="CS7" s="277">
        <v>2019</v>
      </c>
      <c r="CT7" s="275">
        <v>14</v>
      </c>
      <c r="CU7" s="275" t="s">
        <v>656</v>
      </c>
      <c r="CV7" s="275">
        <v>-2902756244.7700005</v>
      </c>
      <c r="CW7" s="275">
        <v>-2834656358</v>
      </c>
      <c r="CX7" s="275">
        <v>53</v>
      </c>
      <c r="CY7" s="275">
        <v>1715384452.1499999</v>
      </c>
      <c r="CZ7" s="275">
        <v>1850108278</v>
      </c>
      <c r="DA7" s="275">
        <v>13</v>
      </c>
      <c r="DB7" s="275">
        <v>4618140696.9199991</v>
      </c>
      <c r="DC7" s="275">
        <v>4684764636</v>
      </c>
      <c r="DD7" s="275">
        <v>40</v>
      </c>
      <c r="DJ7" s="10" t="s">
        <v>665</v>
      </c>
      <c r="DK7" s="374">
        <v>132000000</v>
      </c>
    </row>
    <row r="8" spans="1:118" x14ac:dyDescent="0.2">
      <c r="B8" s="188">
        <v>15109422658</v>
      </c>
      <c r="C8" s="188">
        <v>1054535444183.9556</v>
      </c>
      <c r="D8" s="194">
        <v>11891900</v>
      </c>
      <c r="E8" s="209"/>
      <c r="F8" s="211">
        <v>4909</v>
      </c>
      <c r="G8" s="211">
        <v>1200782325</v>
      </c>
      <c r="H8" s="225">
        <v>61662070630.160553</v>
      </c>
      <c r="J8" s="152" t="str">
        <f>K8&amp;L8</f>
        <v>ABuy</v>
      </c>
      <c r="K8" s="234" t="s">
        <v>540</v>
      </c>
      <c r="L8" s="234" t="s">
        <v>541</v>
      </c>
      <c r="M8" s="238">
        <v>134066474859.71478</v>
      </c>
      <c r="O8" s="244">
        <v>239579700043.20999</v>
      </c>
      <c r="P8" s="244">
        <v>-213869962897.89999</v>
      </c>
      <c r="Q8" s="241">
        <v>25709737145.310001</v>
      </c>
      <c r="S8" s="253" t="s">
        <v>446</v>
      </c>
      <c r="T8" s="258">
        <v>1817872315.4400001</v>
      </c>
      <c r="U8" s="258">
        <v>341182</v>
      </c>
      <c r="V8" s="258">
        <v>441</v>
      </c>
      <c r="W8" s="258">
        <v>1059351</v>
      </c>
      <c r="X8" s="258">
        <v>0</v>
      </c>
      <c r="Y8" s="245"/>
      <c r="Z8" s="253" t="s">
        <v>575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575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575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575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574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574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717575307815.08142</v>
      </c>
      <c r="BQ8" s="263">
        <v>11065605</v>
      </c>
      <c r="BR8" s="263">
        <v>549529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634</v>
      </c>
      <c r="CE8" s="266" t="s">
        <v>636</v>
      </c>
      <c r="CF8" s="245"/>
      <c r="CG8" s="245"/>
      <c r="CH8" s="245"/>
      <c r="CI8" s="245"/>
      <c r="CJ8" s="247" t="s">
        <v>638</v>
      </c>
      <c r="CK8" s="247">
        <v>1486908114787.7627</v>
      </c>
      <c r="CL8" s="247"/>
      <c r="CM8" s="247" t="s">
        <v>638</v>
      </c>
      <c r="CN8" s="247">
        <v>3855053237562.3809</v>
      </c>
      <c r="CO8" s="247"/>
      <c r="CP8" s="247" t="s">
        <v>638</v>
      </c>
      <c r="CQ8" s="247">
        <v>42802016644.919998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542</v>
      </c>
      <c r="L9" s="234" t="s">
        <v>541</v>
      </c>
      <c r="M9" s="238">
        <v>235043347680.88556</v>
      </c>
      <c r="N9" s="19"/>
      <c r="O9" s="239"/>
      <c r="P9" s="239"/>
      <c r="Q9" s="239"/>
      <c r="S9" s="253" t="s">
        <v>446</v>
      </c>
      <c r="T9" s="258">
        <v>268637066674.98761</v>
      </c>
      <c r="U9" s="258">
        <v>800027</v>
      </c>
      <c r="V9" s="258">
        <v>235898</v>
      </c>
      <c r="W9" s="258">
        <v>580767</v>
      </c>
      <c r="X9" s="258">
        <v>1</v>
      </c>
      <c r="Y9" s="245"/>
      <c r="Z9" s="253" t="s">
        <v>576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576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576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576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575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575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620</v>
      </c>
      <c r="BU9" s="266" t="s">
        <v>621</v>
      </c>
      <c r="BV9" s="266" t="s">
        <v>622</v>
      </c>
      <c r="BW9" s="266" t="s">
        <v>623</v>
      </c>
      <c r="BX9" s="266" t="s">
        <v>624</v>
      </c>
      <c r="BY9" s="266" t="s">
        <v>625</v>
      </c>
      <c r="BZ9" s="266" t="s">
        <v>626</v>
      </c>
      <c r="CA9" s="266" t="s">
        <v>627</v>
      </c>
      <c r="CB9" s="266" t="s">
        <v>628</v>
      </c>
      <c r="CC9" s="245"/>
      <c r="CD9" s="269">
        <v>261555349862663.66</v>
      </c>
      <c r="CE9" s="272">
        <v>379869466000.23535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540</v>
      </c>
      <c r="L10" s="234" t="s">
        <v>543</v>
      </c>
      <c r="M10" s="238">
        <v>144476400764.09381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449</v>
      </c>
      <c r="T10" s="258">
        <v>0</v>
      </c>
      <c r="U10" s="258">
        <v>0</v>
      </c>
      <c r="V10" s="258">
        <v>0</v>
      </c>
      <c r="W10" s="258">
        <v>0</v>
      </c>
      <c r="X10" s="258">
        <v>0</v>
      </c>
      <c r="Y10" s="245"/>
      <c r="Z10" s="253" t="s">
        <v>577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577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577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577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576</v>
      </c>
      <c r="BC10" s="253">
        <v>0</v>
      </c>
      <c r="BD10" s="253">
        <v>0</v>
      </c>
      <c r="BE10" s="253">
        <v>0</v>
      </c>
      <c r="BF10" s="253">
        <v>4800</v>
      </c>
      <c r="BG10" s="253">
        <v>0</v>
      </c>
      <c r="BH10" s="247" t="s">
        <v>576</v>
      </c>
      <c r="BI10" s="253">
        <v>0</v>
      </c>
      <c r="BJ10" s="253">
        <v>0</v>
      </c>
      <c r="BK10" s="253">
        <v>0</v>
      </c>
      <c r="BL10" s="253">
        <v>0</v>
      </c>
      <c r="BM10" s="253">
        <v>0</v>
      </c>
      <c r="BN10" s="253"/>
      <c r="BO10" s="252" t="s">
        <v>472</v>
      </c>
      <c r="BP10" s="264" t="s">
        <v>563</v>
      </c>
      <c r="BQ10" s="264" t="s">
        <v>564</v>
      </c>
      <c r="BR10" s="264" t="s">
        <v>565</v>
      </c>
      <c r="BS10" s="245"/>
      <c r="BT10" s="265" t="s">
        <v>139</v>
      </c>
      <c r="BU10" s="265">
        <v>44</v>
      </c>
      <c r="BV10" s="265">
        <v>0</v>
      </c>
      <c r="BW10" s="265">
        <v>2</v>
      </c>
      <c r="BX10" s="265">
        <v>0</v>
      </c>
      <c r="BY10" s="265">
        <v>0</v>
      </c>
      <c r="BZ10" s="265">
        <v>42</v>
      </c>
      <c r="CA10" s="265">
        <v>35</v>
      </c>
      <c r="CB10" s="265">
        <v>9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542</v>
      </c>
      <c r="L11" s="234" t="s">
        <v>543</v>
      </c>
      <c r="M11" s="238">
        <v>224633421776.50656</v>
      </c>
      <c r="N11" s="156"/>
      <c r="O11" s="342">
        <v>969468452821</v>
      </c>
      <c r="P11" s="342">
        <v>-970485061219</v>
      </c>
      <c r="Q11" s="342">
        <v>-1016608398</v>
      </c>
      <c r="S11" s="253" t="s">
        <v>449</v>
      </c>
      <c r="T11" s="258">
        <v>70412023.937999994</v>
      </c>
      <c r="U11" s="258">
        <v>113872</v>
      </c>
      <c r="V11" s="258">
        <v>44</v>
      </c>
      <c r="W11" s="258">
        <v>1654538</v>
      </c>
      <c r="X11" s="258">
        <v>1</v>
      </c>
      <c r="Y11" s="245"/>
      <c r="Z11" s="253" t="s">
        <v>578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578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578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578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577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577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4895971733.6400003</v>
      </c>
      <c r="BQ11" s="263">
        <v>3826693</v>
      </c>
      <c r="BR11" s="263">
        <v>1875</v>
      </c>
      <c r="BS11" s="245"/>
      <c r="BT11" s="265" t="s">
        <v>629</v>
      </c>
      <c r="BU11" s="265">
        <v>1</v>
      </c>
      <c r="BV11" s="265">
        <v>0</v>
      </c>
      <c r="BW11" s="265">
        <v>0</v>
      </c>
      <c r="BX11" s="265">
        <v>0</v>
      </c>
      <c r="BY11" s="265">
        <v>0</v>
      </c>
      <c r="BZ11" s="265">
        <v>1</v>
      </c>
      <c r="CA11" s="265">
        <v>1</v>
      </c>
      <c r="CB11" s="265">
        <v>0</v>
      </c>
      <c r="CC11" s="267" t="s">
        <v>505</v>
      </c>
      <c r="CD11" s="266" t="s">
        <v>634</v>
      </c>
      <c r="CE11" s="266" t="s">
        <v>636</v>
      </c>
      <c r="CF11" s="245"/>
      <c r="CG11" s="245"/>
      <c r="CH11" s="245"/>
      <c r="CI11" s="267" t="s">
        <v>511</v>
      </c>
      <c r="CJ11" s="247" t="s">
        <v>117</v>
      </c>
      <c r="CK11" s="247">
        <v>51961</v>
      </c>
      <c r="CL11" s="267" t="s">
        <v>514</v>
      </c>
      <c r="CM11" s="247" t="s">
        <v>117</v>
      </c>
      <c r="CN11" s="247">
        <v>27989</v>
      </c>
      <c r="CO11" s="267" t="s">
        <v>517</v>
      </c>
      <c r="CP11" s="247" t="s">
        <v>117</v>
      </c>
      <c r="CQ11" s="247">
        <v>1525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450</v>
      </c>
      <c r="T12" s="258">
        <v>2748.07</v>
      </c>
      <c r="U12" s="258">
        <v>97065</v>
      </c>
      <c r="V12" s="258">
        <v>42</v>
      </c>
      <c r="W12" s="258">
        <v>1565435</v>
      </c>
      <c r="X12" s="258">
        <v>1</v>
      </c>
      <c r="Y12" s="245"/>
      <c r="Z12" s="253" t="s">
        <v>579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579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579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579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578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578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630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538109702004736.19</v>
      </c>
      <c r="CE12" s="272">
        <v>742290799692.13855</v>
      </c>
      <c r="CF12" s="245"/>
      <c r="CG12" s="245"/>
      <c r="CH12" s="245"/>
      <c r="CI12" s="247"/>
      <c r="CJ12" s="247" t="s">
        <v>637</v>
      </c>
      <c r="CK12" s="247">
        <v>1894452834234</v>
      </c>
      <c r="CL12" s="247"/>
      <c r="CM12" s="247" t="s">
        <v>637</v>
      </c>
      <c r="CN12" s="247">
        <v>3288042588073</v>
      </c>
      <c r="CO12" s="247"/>
      <c r="CP12" s="247" t="s">
        <v>637</v>
      </c>
      <c r="CQ12" s="247">
        <v>120260702187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538</v>
      </c>
      <c r="L13" s="235" t="s">
        <v>539</v>
      </c>
      <c r="M13" s="237" t="s">
        <v>536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447</v>
      </c>
      <c r="T13" s="258">
        <v>881476904.00999999</v>
      </c>
      <c r="U13" s="258">
        <v>816690</v>
      </c>
      <c r="V13" s="258">
        <v>646</v>
      </c>
      <c r="W13" s="258">
        <v>1725805</v>
      </c>
      <c r="X13" s="258">
        <v>0</v>
      </c>
      <c r="Y13" s="245"/>
      <c r="Z13" s="253" t="s">
        <v>580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580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580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580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579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579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566</v>
      </c>
      <c r="BQ13" s="263"/>
      <c r="BR13" s="263"/>
      <c r="BS13" s="245"/>
      <c r="BT13" s="265" t="s">
        <v>631</v>
      </c>
      <c r="BU13" s="265">
        <v>318</v>
      </c>
      <c r="BV13" s="265">
        <v>1</v>
      </c>
      <c r="BW13" s="265">
        <v>6</v>
      </c>
      <c r="BX13" s="265">
        <v>0</v>
      </c>
      <c r="BY13" s="265">
        <v>0</v>
      </c>
      <c r="BZ13" s="265">
        <v>313</v>
      </c>
      <c r="CA13" s="265">
        <v>255</v>
      </c>
      <c r="CB13" s="265">
        <v>63</v>
      </c>
      <c r="CC13" s="245"/>
      <c r="CD13" s="245"/>
      <c r="CE13" s="245"/>
      <c r="CF13" s="245"/>
      <c r="CG13" s="245"/>
      <c r="CH13" s="245"/>
      <c r="CI13" s="247"/>
      <c r="CJ13" s="247" t="s">
        <v>638</v>
      </c>
      <c r="CK13" s="247">
        <v>1958987654129.2915</v>
      </c>
      <c r="CL13" s="247"/>
      <c r="CM13" s="247" t="s">
        <v>638</v>
      </c>
      <c r="CN13" s="247">
        <v>3319501021449.0879</v>
      </c>
      <c r="CO13" s="247"/>
      <c r="CP13" s="247" t="s">
        <v>638</v>
      </c>
      <c r="CQ13" s="247">
        <v>37073730078.400009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540</v>
      </c>
      <c r="L14" s="234" t="s">
        <v>541</v>
      </c>
      <c r="M14" s="238">
        <v>132020332564.77</v>
      </c>
      <c r="N14" s="156"/>
      <c r="O14" s="342">
        <v>784579000000</v>
      </c>
      <c r="P14" s="342">
        <v>-771216000000</v>
      </c>
      <c r="Q14" s="342">
        <v>13363000000</v>
      </c>
      <c r="S14" s="245" t="s">
        <v>447</v>
      </c>
      <c r="T14" s="245">
        <v>12250654979.24</v>
      </c>
      <c r="U14" s="245">
        <v>615005</v>
      </c>
      <c r="V14" s="245">
        <v>4378</v>
      </c>
      <c r="W14" s="245">
        <v>1125832</v>
      </c>
      <c r="X14" s="245">
        <v>1</v>
      </c>
      <c r="Y14" s="245"/>
      <c r="Z14" s="253" t="s">
        <v>581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581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581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581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580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580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16258381</v>
      </c>
      <c r="BQ14" s="263"/>
      <c r="BR14" s="263"/>
      <c r="BS14" s="245"/>
      <c r="BT14" s="265" t="s">
        <v>632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634</v>
      </c>
      <c r="CE14" s="273" t="s">
        <v>636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657</v>
      </c>
      <c r="CT14" s="275" t="s">
        <v>640</v>
      </c>
      <c r="CU14" s="275" t="s">
        <v>641</v>
      </c>
      <c r="CV14" s="275" t="s">
        <v>642</v>
      </c>
      <c r="CW14" s="275" t="s">
        <v>643</v>
      </c>
      <c r="CX14" s="275" t="s">
        <v>644</v>
      </c>
      <c r="CY14" s="275" t="s">
        <v>645</v>
      </c>
      <c r="CZ14" s="275" t="s">
        <v>646</v>
      </c>
      <c r="DA14" s="275" t="s">
        <v>647</v>
      </c>
      <c r="DB14" s="275" t="s">
        <v>648</v>
      </c>
      <c r="DC14" s="275" t="s">
        <v>649</v>
      </c>
      <c r="DD14" s="275" t="s">
        <v>650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542</v>
      </c>
      <c r="L15" s="234" t="s">
        <v>541</v>
      </c>
      <c r="M15" s="238">
        <v>231008957346.245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582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582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582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582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614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581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634113651986709.75</v>
      </c>
      <c r="CE15" s="274">
        <v>1039190138404.4867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658</v>
      </c>
      <c r="CT15" s="275">
        <v>17</v>
      </c>
      <c r="CU15" s="275" t="s">
        <v>651</v>
      </c>
      <c r="CV15" s="275">
        <v>0</v>
      </c>
      <c r="CW15" s="275">
        <v>7215428473</v>
      </c>
      <c r="CX15" s="275">
        <v>404</v>
      </c>
      <c r="CY15" s="275">
        <v>0</v>
      </c>
      <c r="CZ15" s="275">
        <v>20765162984</v>
      </c>
      <c r="DA15" s="275">
        <v>236</v>
      </c>
      <c r="DB15" s="275">
        <v>0</v>
      </c>
      <c r="DC15" s="275">
        <v>13549734511</v>
      </c>
      <c r="DD15" s="275">
        <v>168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540</v>
      </c>
      <c r="L16" s="234" t="s">
        <v>543</v>
      </c>
      <c r="M16" s="238">
        <v>137548827340.065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583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583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583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583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581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582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566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658</v>
      </c>
      <c r="CT16" s="275">
        <v>24</v>
      </c>
      <c r="CU16" s="275" t="s">
        <v>652</v>
      </c>
      <c r="CV16" s="275">
        <v>71659908068.10997</v>
      </c>
      <c r="CW16" s="275">
        <v>78184218000</v>
      </c>
      <c r="CX16" s="275">
        <v>520</v>
      </c>
      <c r="CY16" s="275">
        <v>97949917793.130005</v>
      </c>
      <c r="CZ16" s="275">
        <v>105468400000</v>
      </c>
      <c r="DA16" s="275">
        <v>448</v>
      </c>
      <c r="DB16" s="275">
        <v>26290009725.019993</v>
      </c>
      <c r="DC16" s="275">
        <v>27284182000</v>
      </c>
      <c r="DD16" s="275">
        <v>72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542</v>
      </c>
      <c r="L17" s="234" t="s">
        <v>543</v>
      </c>
      <c r="M17" s="238">
        <v>225480462570.95001</v>
      </c>
      <c r="N17" s="156"/>
      <c r="O17" s="342">
        <v>645668000000</v>
      </c>
      <c r="P17" s="342">
        <v>-645833000000</v>
      </c>
      <c r="Q17" s="342">
        <v>-165000000</v>
      </c>
      <c r="R17" s="153" t="s">
        <v>453</v>
      </c>
      <c r="S17" s="253" t="s">
        <v>562</v>
      </c>
      <c r="T17" s="258" t="s">
        <v>563</v>
      </c>
      <c r="U17" s="258" t="s">
        <v>564</v>
      </c>
      <c r="V17" s="258" t="s">
        <v>565</v>
      </c>
      <c r="W17" s="258" t="s">
        <v>566</v>
      </c>
      <c r="X17" s="258" t="s">
        <v>567</v>
      </c>
      <c r="Y17" s="245"/>
      <c r="Z17" s="253" t="s">
        <v>584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584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584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584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582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583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3047691</v>
      </c>
      <c r="BQ17" s="263"/>
      <c r="BR17" s="263"/>
      <c r="BS17" s="256" t="s">
        <v>500</v>
      </c>
      <c r="BT17" s="266" t="s">
        <v>620</v>
      </c>
      <c r="BU17" s="266" t="s">
        <v>621</v>
      </c>
      <c r="BV17" s="266" t="s">
        <v>622</v>
      </c>
      <c r="BW17" s="266" t="s">
        <v>623</v>
      </c>
      <c r="BX17" s="266" t="s">
        <v>624</v>
      </c>
      <c r="BY17" s="266" t="s">
        <v>625</v>
      </c>
      <c r="BZ17" s="266" t="s">
        <v>626</v>
      </c>
      <c r="CA17" s="266" t="s">
        <v>627</v>
      </c>
      <c r="CB17" s="266" t="s">
        <v>628</v>
      </c>
      <c r="CC17" s="356" t="s">
        <v>528</v>
      </c>
      <c r="CD17" s="355" t="s">
        <v>634</v>
      </c>
      <c r="CE17" s="355" t="s">
        <v>636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658</v>
      </c>
      <c r="CT17" s="275">
        <v>23</v>
      </c>
      <c r="CU17" s="275" t="s">
        <v>653</v>
      </c>
      <c r="CV17" s="275">
        <v>-70098526847.670029</v>
      </c>
      <c r="CW17" s="275">
        <v>-77517218000</v>
      </c>
      <c r="CX17" s="275">
        <v>494</v>
      </c>
      <c r="CY17" s="275">
        <v>24954899206.240002</v>
      </c>
      <c r="CZ17" s="275">
        <v>25822682000</v>
      </c>
      <c r="DA17" s="275">
        <v>63</v>
      </c>
      <c r="DB17" s="275">
        <v>95053426053.909988</v>
      </c>
      <c r="DC17" s="275">
        <v>103339900000</v>
      </c>
      <c r="DD17" s="275">
        <v>431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10907537.09</v>
      </c>
      <c r="U18" s="258">
        <v>16431</v>
      </c>
      <c r="V18" s="258">
        <v>11</v>
      </c>
      <c r="W18" s="258">
        <v>458897</v>
      </c>
      <c r="X18" s="258">
        <v>0</v>
      </c>
      <c r="Y18" s="245"/>
      <c r="Z18" s="253" t="s">
        <v>585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585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585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585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583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584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51</v>
      </c>
      <c r="BV18" s="265">
        <v>0</v>
      </c>
      <c r="BW18" s="265">
        <v>2</v>
      </c>
      <c r="BX18" s="265">
        <v>0</v>
      </c>
      <c r="BY18" s="265">
        <v>0</v>
      </c>
      <c r="BZ18" s="265">
        <v>49</v>
      </c>
      <c r="CA18" s="265">
        <v>39</v>
      </c>
      <c r="CB18" s="265">
        <v>12</v>
      </c>
      <c r="CC18" s="353"/>
      <c r="CD18" s="357">
        <v>13385576024834.34</v>
      </c>
      <c r="CE18" s="358">
        <v>24045742313.586773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658</v>
      </c>
      <c r="CT18" s="275">
        <v>96</v>
      </c>
      <c r="CU18" s="275" t="s">
        <v>654</v>
      </c>
      <c r="CV18" s="275">
        <v>-5483772620.2300043</v>
      </c>
      <c r="CW18" s="275">
        <v>-5228994648</v>
      </c>
      <c r="CX18" s="275">
        <v>489</v>
      </c>
      <c r="CY18" s="275">
        <v>6577943578.7899942</v>
      </c>
      <c r="CZ18" s="275">
        <v>6249327721</v>
      </c>
      <c r="DA18" s="275">
        <v>270</v>
      </c>
      <c r="DB18" s="275">
        <v>12061716199.02</v>
      </c>
      <c r="DC18" s="275">
        <v>11478322369</v>
      </c>
      <c r="DD18" s="275">
        <v>219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538</v>
      </c>
      <c r="L19" s="235" t="s">
        <v>539</v>
      </c>
      <c r="M19" s="237" t="s">
        <v>536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586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586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588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584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585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536</v>
      </c>
      <c r="BQ19" s="264" t="s">
        <v>564</v>
      </c>
      <c r="BR19" s="264" t="s">
        <v>565</v>
      </c>
      <c r="BS19" s="245"/>
      <c r="BT19" s="265" t="s">
        <v>629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658</v>
      </c>
      <c r="CT19" s="275">
        <v>52</v>
      </c>
      <c r="CU19" s="275" t="s">
        <v>655</v>
      </c>
      <c r="CV19" s="275">
        <v>8107174985.7099962</v>
      </c>
      <c r="CW19" s="275">
        <v>9367697963</v>
      </c>
      <c r="CX19" s="275">
        <v>2676</v>
      </c>
      <c r="CY19" s="275">
        <v>100046313989.4101</v>
      </c>
      <c r="CZ19" s="275">
        <v>99339934635</v>
      </c>
      <c r="DA19" s="275">
        <v>1339</v>
      </c>
      <c r="DB19" s="275">
        <v>91939139003.700073</v>
      </c>
      <c r="DC19" s="275">
        <v>89972236672</v>
      </c>
      <c r="DD19" s="275">
        <v>1337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540</v>
      </c>
      <c r="L20" s="234" t="s">
        <v>541</v>
      </c>
      <c r="M20" s="238">
        <v>129705440241.02</v>
      </c>
      <c r="N20" s="156"/>
      <c r="O20" s="342">
        <v>525050000000</v>
      </c>
      <c r="P20" s="342">
        <v>-528401000000</v>
      </c>
      <c r="Q20" s="342">
        <v>-3351000000</v>
      </c>
      <c r="S20" s="253" t="s">
        <v>446</v>
      </c>
      <c r="T20" s="258">
        <v>37026288</v>
      </c>
      <c r="U20" s="258">
        <v>8784</v>
      </c>
      <c r="V20" s="258">
        <v>20</v>
      </c>
      <c r="W20" s="258">
        <v>1059351</v>
      </c>
      <c r="X20" s="258">
        <v>0</v>
      </c>
      <c r="Y20" s="245"/>
      <c r="Z20" s="253" t="s">
        <v>587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587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589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585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69902820364.419998</v>
      </c>
      <c r="BQ20" s="263">
        <v>655542</v>
      </c>
      <c r="BR20" s="263">
        <v>864</v>
      </c>
      <c r="BS20" s="245"/>
      <c r="BT20" s="265" t="s">
        <v>630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6" t="s">
        <v>527</v>
      </c>
      <c r="CD20" s="355" t="s">
        <v>634</v>
      </c>
      <c r="CE20" s="355" t="s">
        <v>636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658</v>
      </c>
      <c r="CT20" s="275">
        <v>10</v>
      </c>
      <c r="CU20" s="275" t="s">
        <v>656</v>
      </c>
      <c r="CV20" s="275">
        <v>-744675199.8599999</v>
      </c>
      <c r="CW20" s="275">
        <v>-748033125</v>
      </c>
      <c r="CX20" s="275">
        <v>22</v>
      </c>
      <c r="CY20" s="275">
        <v>638716621.85000002</v>
      </c>
      <c r="CZ20" s="275">
        <v>719356278</v>
      </c>
      <c r="DA20" s="275">
        <v>8</v>
      </c>
      <c r="DB20" s="275">
        <v>1383391821.7099998</v>
      </c>
      <c r="DC20" s="275">
        <v>1467389403</v>
      </c>
      <c r="DD20" s="275">
        <v>14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542</v>
      </c>
      <c r="L21" s="234" t="s">
        <v>541</v>
      </c>
      <c r="M21" s="238">
        <v>221813581062.67001</v>
      </c>
      <c r="O21" s="239"/>
      <c r="P21" s="239"/>
      <c r="Q21" s="239"/>
      <c r="S21" s="253" t="s">
        <v>449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45"/>
      <c r="Z21" s="253" t="s">
        <v>588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588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590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588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589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631</v>
      </c>
      <c r="BU21" s="265">
        <v>319</v>
      </c>
      <c r="BV21" s="265">
        <v>0</v>
      </c>
      <c r="BW21" s="265">
        <v>1</v>
      </c>
      <c r="BX21" s="265">
        <v>0</v>
      </c>
      <c r="BY21" s="265">
        <v>0</v>
      </c>
      <c r="BZ21" s="265">
        <v>318</v>
      </c>
      <c r="CA21" s="265">
        <v>257</v>
      </c>
      <c r="CB21" s="265">
        <v>62</v>
      </c>
      <c r="CC21" s="353"/>
      <c r="CD21" s="357">
        <v>3457032761655850</v>
      </c>
      <c r="CE21" s="358">
        <v>5203202468976.9365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540</v>
      </c>
      <c r="L22" s="234" t="s">
        <v>543</v>
      </c>
      <c r="M22" s="238">
        <v>139848093202.07999</v>
      </c>
      <c r="O22" s="239"/>
      <c r="P22" s="239"/>
      <c r="Q22" s="239"/>
      <c r="S22" s="253" t="s">
        <v>447</v>
      </c>
      <c r="T22" s="258">
        <v>50912988.810000002</v>
      </c>
      <c r="U22" s="258">
        <v>53376</v>
      </c>
      <c r="V22" s="258">
        <v>25</v>
      </c>
      <c r="W22" s="258">
        <v>1725805</v>
      </c>
      <c r="X22" s="258">
        <v>0</v>
      </c>
      <c r="Y22" s="245"/>
      <c r="Z22" s="253" t="s">
        <v>589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589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591</v>
      </c>
      <c r="AO22" s="253">
        <v>0</v>
      </c>
      <c r="AP22" s="253">
        <v>0</v>
      </c>
      <c r="AQ22" s="253">
        <v>0</v>
      </c>
      <c r="AR22" s="253">
        <v>440</v>
      </c>
      <c r="AS22" s="253">
        <v>0</v>
      </c>
      <c r="AT22" s="245"/>
      <c r="AU22" s="253" t="s">
        <v>591</v>
      </c>
      <c r="AV22" s="253">
        <v>0</v>
      </c>
      <c r="AW22" s="253">
        <v>0</v>
      </c>
      <c r="AX22" s="253">
        <v>0</v>
      </c>
      <c r="AY22" s="253">
        <v>20</v>
      </c>
      <c r="AZ22" s="253">
        <v>0</v>
      </c>
      <c r="BA22" s="245"/>
      <c r="BB22" s="253" t="s">
        <v>589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590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536</v>
      </c>
      <c r="BQ22" s="264" t="s">
        <v>564</v>
      </c>
      <c r="BR22" s="264" t="s">
        <v>565</v>
      </c>
      <c r="BS22" s="245"/>
      <c r="BT22" s="245" t="s">
        <v>632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553</v>
      </c>
      <c r="F23" s="227" t="s">
        <v>444</v>
      </c>
      <c r="G23" s="224" t="s">
        <v>226</v>
      </c>
      <c r="H23" s="224" t="s">
        <v>544</v>
      </c>
      <c r="I23" s="165"/>
      <c r="J23" s="152" t="str">
        <f>K23&amp;L23</f>
        <v>PSell</v>
      </c>
      <c r="K23" s="234" t="s">
        <v>542</v>
      </c>
      <c r="L23" s="234" t="s">
        <v>543</v>
      </c>
      <c r="M23" s="238">
        <v>211670928101.60999</v>
      </c>
      <c r="N23" s="163" t="s">
        <v>445</v>
      </c>
      <c r="O23" s="242" t="s">
        <v>226</v>
      </c>
      <c r="P23" s="242" t="s">
        <v>544</v>
      </c>
      <c r="Q23" s="239"/>
      <c r="S23" s="253" t="s">
        <v>568</v>
      </c>
      <c r="T23" s="258">
        <v>0</v>
      </c>
      <c r="U23" s="258">
        <v>0</v>
      </c>
      <c r="V23" s="258">
        <v>0</v>
      </c>
      <c r="W23" s="258">
        <v>0</v>
      </c>
      <c r="X23" s="258">
        <v>1</v>
      </c>
      <c r="Y23" s="245"/>
      <c r="Z23" s="253" t="s">
        <v>590</v>
      </c>
      <c r="AA23" s="253">
        <v>0</v>
      </c>
      <c r="AB23" s="253">
        <v>0</v>
      </c>
      <c r="AC23" s="253">
        <v>0</v>
      </c>
      <c r="AD23" s="253">
        <v>0</v>
      </c>
      <c r="AE23" s="253">
        <v>0</v>
      </c>
      <c r="AF23" s="253"/>
      <c r="AG23" s="253" t="s">
        <v>590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592</v>
      </c>
      <c r="AO23" s="253">
        <v>0</v>
      </c>
      <c r="AP23" s="253">
        <v>0</v>
      </c>
      <c r="AQ23" s="253">
        <v>0</v>
      </c>
      <c r="AR23" s="253">
        <v>0</v>
      </c>
      <c r="AS23" s="253">
        <v>0</v>
      </c>
      <c r="AT23" s="245"/>
      <c r="AU23" s="253" t="s">
        <v>592</v>
      </c>
      <c r="AV23" s="253">
        <v>0</v>
      </c>
      <c r="AW23" s="253">
        <v>0</v>
      </c>
      <c r="AX23" s="253">
        <v>0</v>
      </c>
      <c r="AY23" s="253">
        <v>0</v>
      </c>
      <c r="AZ23" s="253">
        <v>0</v>
      </c>
      <c r="BA23" s="245"/>
      <c r="BB23" s="253" t="s">
        <v>590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591</v>
      </c>
      <c r="BI23" s="253">
        <v>0</v>
      </c>
      <c r="BJ23" s="253">
        <v>0</v>
      </c>
      <c r="BK23" s="253">
        <v>0</v>
      </c>
      <c r="BL23" s="253">
        <v>50</v>
      </c>
      <c r="BM23" s="253">
        <v>0</v>
      </c>
      <c r="BN23" s="253"/>
      <c r="BO23" s="247"/>
      <c r="BP23" s="263">
        <v>5047535200.2799997</v>
      </c>
      <c r="BQ23" s="263">
        <v>59033</v>
      </c>
      <c r="BR23" s="263">
        <v>131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43355.020438929998</v>
      </c>
      <c r="I24" s="164"/>
      <c r="K24" s="231"/>
      <c r="L24" s="228"/>
      <c r="M24" s="228"/>
      <c r="O24" s="241" t="s">
        <v>254</v>
      </c>
      <c r="P24" s="241">
        <v>51796.708716130001</v>
      </c>
      <c r="Q24" s="239"/>
      <c r="S24" s="253" t="s">
        <v>451</v>
      </c>
      <c r="T24" s="258">
        <v>216411806.32800001</v>
      </c>
      <c r="U24" s="258">
        <v>558</v>
      </c>
      <c r="V24" s="258">
        <v>18</v>
      </c>
      <c r="W24" s="258">
        <v>136802</v>
      </c>
      <c r="X24" s="258">
        <v>1</v>
      </c>
      <c r="Y24" s="245"/>
      <c r="Z24" s="253" t="s">
        <v>591</v>
      </c>
      <c r="AA24" s="253">
        <v>0</v>
      </c>
      <c r="AB24" s="253">
        <v>0</v>
      </c>
      <c r="AC24" s="253">
        <v>0</v>
      </c>
      <c r="AD24" s="253">
        <v>400</v>
      </c>
      <c r="AE24" s="253">
        <v>0</v>
      </c>
      <c r="AF24" s="253"/>
      <c r="AG24" s="253" t="s">
        <v>591</v>
      </c>
      <c r="AH24" s="253">
        <v>0</v>
      </c>
      <c r="AI24" s="253">
        <v>0</v>
      </c>
      <c r="AJ24" s="253">
        <v>0</v>
      </c>
      <c r="AK24" s="253">
        <v>20</v>
      </c>
      <c r="AL24" s="253">
        <v>0</v>
      </c>
      <c r="AM24" s="245"/>
      <c r="AN24" s="253" t="s">
        <v>593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593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591</v>
      </c>
      <c r="BC24" s="253">
        <v>0</v>
      </c>
      <c r="BD24" s="253">
        <v>0</v>
      </c>
      <c r="BE24" s="253">
        <v>0</v>
      </c>
      <c r="BF24" s="253">
        <v>1000</v>
      </c>
      <c r="BG24" s="253">
        <v>0</v>
      </c>
      <c r="BH24" s="247" t="s">
        <v>592</v>
      </c>
      <c r="BI24" s="253">
        <v>0</v>
      </c>
      <c r="BJ24" s="253">
        <v>0</v>
      </c>
      <c r="BK24" s="253">
        <v>0</v>
      </c>
      <c r="BL24" s="253">
        <v>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12042.01479814</v>
      </c>
      <c r="I25" s="164"/>
      <c r="K25" s="231"/>
      <c r="L25" s="228"/>
      <c r="M25" s="228"/>
      <c r="O25" s="241" t="s">
        <v>271</v>
      </c>
      <c r="P25" s="241">
        <v>11503.05343326</v>
      </c>
      <c r="Q25" s="239"/>
      <c r="S25" s="253" t="s">
        <v>448</v>
      </c>
      <c r="T25" s="258">
        <v>0</v>
      </c>
      <c r="U25" s="258">
        <v>5463</v>
      </c>
      <c r="V25" s="258">
        <v>219</v>
      </c>
      <c r="W25" s="258">
        <v>766889</v>
      </c>
      <c r="X25" s="258">
        <v>1</v>
      </c>
      <c r="Y25" s="245"/>
      <c r="Z25" s="253" t="s">
        <v>592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592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594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594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592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595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566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10742.953886859999</v>
      </c>
      <c r="I26" s="164"/>
      <c r="J26" s="157"/>
      <c r="K26" s="232"/>
      <c r="L26" s="228"/>
      <c r="M26" s="228"/>
      <c r="O26" s="241" t="s">
        <v>272</v>
      </c>
      <c r="P26" s="241">
        <v>10550.070017649999</v>
      </c>
      <c r="Q26" s="239"/>
      <c r="S26" s="253" t="s">
        <v>182</v>
      </c>
      <c r="T26" s="258">
        <v>1736235.18</v>
      </c>
      <c r="U26" s="258">
        <v>22285</v>
      </c>
      <c r="V26" s="258">
        <v>10</v>
      </c>
      <c r="W26" s="258">
        <v>1182665</v>
      </c>
      <c r="X26" s="258">
        <v>1</v>
      </c>
      <c r="Y26" s="245"/>
      <c r="Z26" s="253" t="s">
        <v>593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593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595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595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615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596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786986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21488.04855105</v>
      </c>
      <c r="I27" s="164"/>
      <c r="J27" s="157"/>
      <c r="K27" s="231"/>
      <c r="L27" s="228"/>
      <c r="M27" s="228"/>
      <c r="O27" s="241" t="s">
        <v>273</v>
      </c>
      <c r="P27" s="241">
        <v>20200.686030500001</v>
      </c>
      <c r="Q27" s="239"/>
      <c r="S27" s="253" t="s">
        <v>446</v>
      </c>
      <c r="T27" s="258">
        <v>14307402384.639099</v>
      </c>
      <c r="U27" s="258">
        <v>34358</v>
      </c>
      <c r="V27" s="258">
        <v>13326</v>
      </c>
      <c r="W27" s="258">
        <v>580767</v>
      </c>
      <c r="X27" s="258">
        <v>1</v>
      </c>
      <c r="Y27" s="245"/>
      <c r="Z27" s="253" t="s">
        <v>594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594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596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596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616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597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639</v>
      </c>
      <c r="CT27" s="275" t="s">
        <v>640</v>
      </c>
      <c r="CU27" s="275" t="s">
        <v>641</v>
      </c>
      <c r="CV27" s="275" t="s">
        <v>642</v>
      </c>
      <c r="CW27" s="275" t="s">
        <v>643</v>
      </c>
      <c r="CX27" s="275" t="s">
        <v>644</v>
      </c>
      <c r="CY27" s="275" t="s">
        <v>645</v>
      </c>
      <c r="CZ27" s="275" t="s">
        <v>646</v>
      </c>
      <c r="DA27" s="275" t="s">
        <v>647</v>
      </c>
      <c r="DB27" s="275" t="s">
        <v>648</v>
      </c>
      <c r="DC27" s="275" t="s">
        <v>649</v>
      </c>
      <c r="DD27" s="275" t="s">
        <v>650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3185.4838285800001</v>
      </c>
      <c r="I28" s="164"/>
      <c r="J28" s="157"/>
      <c r="K28" s="231"/>
      <c r="L28" s="233"/>
      <c r="M28" s="236"/>
      <c r="O28" s="241" t="s">
        <v>274</v>
      </c>
      <c r="P28" s="241">
        <v>3028.19599057</v>
      </c>
      <c r="Q28" s="239"/>
      <c r="S28" s="245" t="s">
        <v>449</v>
      </c>
      <c r="T28" s="245">
        <v>131670</v>
      </c>
      <c r="U28" s="245">
        <v>330</v>
      </c>
      <c r="V28" s="245">
        <v>1</v>
      </c>
      <c r="W28" s="245">
        <v>1654538</v>
      </c>
      <c r="X28" s="245">
        <v>1</v>
      </c>
      <c r="Y28" s="245"/>
      <c r="Z28" s="253" t="s">
        <v>595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595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597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597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595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598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566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2018</v>
      </c>
      <c r="CT28" s="275">
        <v>21</v>
      </c>
      <c r="CU28" s="275" t="s">
        <v>651</v>
      </c>
      <c r="CV28" s="275">
        <v>0</v>
      </c>
      <c r="CW28" s="275">
        <v>8604277055</v>
      </c>
      <c r="CX28" s="275">
        <v>812</v>
      </c>
      <c r="CY28" s="275">
        <v>0</v>
      </c>
      <c r="CZ28" s="275">
        <v>43384698879</v>
      </c>
      <c r="DA28" s="275">
        <v>422</v>
      </c>
      <c r="DB28" s="275">
        <v>0</v>
      </c>
      <c r="DC28" s="275">
        <v>34780421824</v>
      </c>
      <c r="DD28" s="275">
        <v>390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2965.66003645</v>
      </c>
      <c r="I29" s="164"/>
      <c r="J29" s="157"/>
      <c r="K29" s="231"/>
      <c r="L29" s="228"/>
      <c r="M29" s="228"/>
      <c r="O29" s="241" t="s">
        <v>275</v>
      </c>
      <c r="P29" s="241">
        <v>2913.27550591</v>
      </c>
      <c r="Q29" s="239"/>
      <c r="S29" s="245" t="s">
        <v>450</v>
      </c>
      <c r="T29" s="245">
        <v>0</v>
      </c>
      <c r="U29" s="245">
        <v>281</v>
      </c>
      <c r="V29" s="245">
        <v>1</v>
      </c>
      <c r="W29" s="245">
        <v>1565435</v>
      </c>
      <c r="X29" s="245">
        <v>1</v>
      </c>
      <c r="Y29" s="245"/>
      <c r="Z29" s="253" t="s">
        <v>596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596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598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598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596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599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124290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2018</v>
      </c>
      <c r="CT29" s="275">
        <v>24</v>
      </c>
      <c r="CU29" s="275" t="s">
        <v>652</v>
      </c>
      <c r="CV29" s="275">
        <v>-198652558178.1799</v>
      </c>
      <c r="CW29" s="275">
        <v>-175334993830</v>
      </c>
      <c r="CX29" s="275">
        <v>1433</v>
      </c>
      <c r="CY29" s="275">
        <v>60169348868.089989</v>
      </c>
      <c r="CZ29" s="275">
        <v>62836005090</v>
      </c>
      <c r="DA29" s="275">
        <v>659</v>
      </c>
      <c r="DB29" s="275">
        <v>258821907046.27014</v>
      </c>
      <c r="DC29" s="275">
        <v>238170998920</v>
      </c>
      <c r="DD29" s="275">
        <v>774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3611.3655727400001</v>
      </c>
      <c r="I30" s="164"/>
      <c r="J30" s="157"/>
      <c r="K30" s="231"/>
      <c r="L30" s="228"/>
      <c r="M30" s="228"/>
      <c r="O30" s="241" t="s">
        <v>93</v>
      </c>
      <c r="P30" s="241">
        <v>3432.4605688699999</v>
      </c>
      <c r="Q30" s="239"/>
      <c r="S30" s="254" t="s">
        <v>447</v>
      </c>
      <c r="T30" s="257">
        <v>314642026.69999999</v>
      </c>
      <c r="U30" s="257">
        <v>31073</v>
      </c>
      <c r="V30" s="257">
        <v>222</v>
      </c>
      <c r="W30" s="257">
        <v>1125832</v>
      </c>
      <c r="X30" s="257">
        <v>1</v>
      </c>
      <c r="Y30" s="245"/>
      <c r="Z30" s="253" t="s">
        <v>597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597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599</v>
      </c>
      <c r="AO30" s="253">
        <v>0</v>
      </c>
      <c r="AP30" s="253">
        <v>0</v>
      </c>
      <c r="AQ30" s="253">
        <v>0</v>
      </c>
      <c r="AR30" s="253">
        <v>0</v>
      </c>
      <c r="AS30" s="253">
        <v>0</v>
      </c>
      <c r="AT30" s="245"/>
      <c r="AU30" s="253" t="s">
        <v>599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 t="s">
        <v>597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600</v>
      </c>
      <c r="BI30" s="253">
        <v>0</v>
      </c>
      <c r="BJ30" s="253">
        <v>0</v>
      </c>
      <c r="BK30" s="253">
        <v>0</v>
      </c>
      <c r="BL30" s="253">
        <v>3534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2018</v>
      </c>
      <c r="CT30" s="275">
        <v>24</v>
      </c>
      <c r="CU30" s="275" t="s">
        <v>653</v>
      </c>
      <c r="CV30" s="275">
        <v>194869699668.4603</v>
      </c>
      <c r="CW30" s="275">
        <v>171176893830</v>
      </c>
      <c r="CX30" s="275">
        <v>1405</v>
      </c>
      <c r="CY30" s="275">
        <v>253132525566.20013</v>
      </c>
      <c r="CZ30" s="275">
        <v>232230098920</v>
      </c>
      <c r="DA30" s="275">
        <v>759</v>
      </c>
      <c r="DB30" s="275">
        <v>58262825897.740044</v>
      </c>
      <c r="DC30" s="275">
        <v>61053205090</v>
      </c>
      <c r="DD30" s="275">
        <v>646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1629.02088794</v>
      </c>
      <c r="I31" s="164"/>
      <c r="J31" s="158"/>
      <c r="K31" s="229"/>
      <c r="L31" s="228"/>
      <c r="M31" s="228"/>
      <c r="O31" s="241" t="s">
        <v>63</v>
      </c>
      <c r="P31" s="241">
        <v>1460.22980089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598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598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600</v>
      </c>
      <c r="AO31" s="253">
        <v>4129487.2</v>
      </c>
      <c r="AP31" s="253">
        <v>931</v>
      </c>
      <c r="AQ31" s="253">
        <v>92</v>
      </c>
      <c r="AR31" s="253">
        <v>64121</v>
      </c>
      <c r="AS31" s="253">
        <v>0</v>
      </c>
      <c r="AT31" s="245"/>
      <c r="AU31" s="253" t="s">
        <v>600</v>
      </c>
      <c r="AV31" s="253">
        <v>18368</v>
      </c>
      <c r="AW31" s="253">
        <v>7</v>
      </c>
      <c r="AX31" s="253">
        <v>3</v>
      </c>
      <c r="AY31" s="253">
        <v>3233</v>
      </c>
      <c r="AZ31" s="253">
        <v>0</v>
      </c>
      <c r="BA31" s="245"/>
      <c r="BB31" s="253" t="s">
        <v>598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601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536</v>
      </c>
      <c r="BQ31" s="264" t="s">
        <v>564</v>
      </c>
      <c r="BR31" s="264" t="s">
        <v>565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2018</v>
      </c>
      <c r="CT31" s="275">
        <v>117</v>
      </c>
      <c r="CU31" s="275" t="s">
        <v>654</v>
      </c>
      <c r="CV31" s="275">
        <v>-8267964908.279995</v>
      </c>
      <c r="CW31" s="275">
        <v>-8415311757</v>
      </c>
      <c r="CX31" s="275">
        <v>1322</v>
      </c>
      <c r="CY31" s="275">
        <v>24155090372.319973</v>
      </c>
      <c r="CZ31" s="275">
        <v>22733641045</v>
      </c>
      <c r="DA31" s="275">
        <v>711</v>
      </c>
      <c r="DB31" s="275">
        <v>32423055280.599995</v>
      </c>
      <c r="DC31" s="275">
        <v>31148952802</v>
      </c>
      <c r="DD31" s="275">
        <v>611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20964.374927209999</v>
      </c>
      <c r="I32" s="164"/>
      <c r="J32" s="157"/>
      <c r="K32" s="229"/>
      <c r="L32" s="228"/>
      <c r="M32" s="228"/>
      <c r="O32" s="241" t="s">
        <v>276</v>
      </c>
      <c r="P32" s="241">
        <v>21271.150435340001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599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599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601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601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599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602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269728090524.96997</v>
      </c>
      <c r="BQ32" s="263">
        <v>2531223</v>
      </c>
      <c r="BR32" s="263">
        <v>2525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2018</v>
      </c>
      <c r="CT32" s="275">
        <v>85</v>
      </c>
      <c r="CU32" s="275" t="s">
        <v>655</v>
      </c>
      <c r="CV32" s="275">
        <v>15052614138.940016</v>
      </c>
      <c r="CW32" s="275">
        <v>15173724734</v>
      </c>
      <c r="CX32" s="275">
        <v>6265</v>
      </c>
      <c r="CY32" s="275">
        <v>220289658618.26999</v>
      </c>
      <c r="CZ32" s="275">
        <v>212105195458</v>
      </c>
      <c r="DA32" s="275">
        <v>3187</v>
      </c>
      <c r="DB32" s="275">
        <v>205237044479.3302</v>
      </c>
      <c r="DC32" s="275">
        <v>196931470724</v>
      </c>
      <c r="DD32" s="275">
        <v>3078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32.424154309999999</v>
      </c>
      <c r="I33" s="164"/>
      <c r="J33" s="157"/>
      <c r="K33" s="228"/>
      <c r="L33" s="228"/>
      <c r="M33" s="228"/>
      <c r="O33" s="241" t="s">
        <v>106</v>
      </c>
      <c r="P33" s="241">
        <v>24.901708070000002</v>
      </c>
      <c r="Q33" s="239"/>
      <c r="R33" s="153" t="s">
        <v>454</v>
      </c>
      <c r="S33" s="253" t="s">
        <v>562</v>
      </c>
      <c r="T33" s="258" t="s">
        <v>563</v>
      </c>
      <c r="U33" s="258" t="s">
        <v>564</v>
      </c>
      <c r="V33" s="258" t="s">
        <v>565</v>
      </c>
      <c r="W33" s="258" t="s">
        <v>566</v>
      </c>
      <c r="X33" s="258" t="s">
        <v>567</v>
      </c>
      <c r="Y33" s="245"/>
      <c r="Z33" s="253" t="s">
        <v>600</v>
      </c>
      <c r="AA33" s="253">
        <v>1655099.21</v>
      </c>
      <c r="AB33" s="253">
        <v>361</v>
      </c>
      <c r="AC33" s="253">
        <v>54</v>
      </c>
      <c r="AD33" s="253">
        <v>62625</v>
      </c>
      <c r="AE33" s="253">
        <v>0</v>
      </c>
      <c r="AF33" s="253"/>
      <c r="AG33" s="253" t="s">
        <v>600</v>
      </c>
      <c r="AH33" s="253">
        <v>0</v>
      </c>
      <c r="AI33" s="253">
        <v>0</v>
      </c>
      <c r="AJ33" s="253">
        <v>0</v>
      </c>
      <c r="AK33" s="253">
        <v>2742</v>
      </c>
      <c r="AL33" s="253">
        <v>0</v>
      </c>
      <c r="AM33" s="245"/>
      <c r="AN33" s="253" t="s">
        <v>602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602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600</v>
      </c>
      <c r="BC33" s="253">
        <v>10071117.9</v>
      </c>
      <c r="BD33" s="253">
        <v>1147</v>
      </c>
      <c r="BE33" s="253">
        <v>120</v>
      </c>
      <c r="BF33" s="253">
        <v>73430</v>
      </c>
      <c r="BG33" s="253">
        <v>0</v>
      </c>
      <c r="BH33" s="247" t="s">
        <v>603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2018</v>
      </c>
      <c r="CT33" s="275">
        <v>13</v>
      </c>
      <c r="CU33" s="275" t="s">
        <v>656</v>
      </c>
      <c r="CV33" s="275">
        <v>-3102714862.9400005</v>
      </c>
      <c r="CW33" s="275">
        <v>-2963664010</v>
      </c>
      <c r="CX33" s="275">
        <v>123</v>
      </c>
      <c r="CY33" s="275">
        <v>1445839347.2300003</v>
      </c>
      <c r="CZ33" s="275">
        <v>1289971980</v>
      </c>
      <c r="DA33" s="275">
        <v>43</v>
      </c>
      <c r="DB33" s="275">
        <v>4548554210.170001</v>
      </c>
      <c r="DC33" s="275">
        <v>4253635990</v>
      </c>
      <c r="DD33" s="275">
        <v>80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11434.04123038</v>
      </c>
      <c r="I34" s="164"/>
      <c r="J34" s="157"/>
      <c r="K34" s="228"/>
      <c r="L34" s="228"/>
      <c r="M34" s="228"/>
      <c r="O34" s="241" t="s">
        <v>108</v>
      </c>
      <c r="P34" s="241">
        <v>10401.48761448</v>
      </c>
      <c r="Q34" s="239"/>
      <c r="R34" s="157"/>
      <c r="S34" s="253" t="s">
        <v>451</v>
      </c>
      <c r="T34" s="258">
        <v>77720286.939999998</v>
      </c>
      <c r="U34" s="258">
        <v>166009</v>
      </c>
      <c r="V34" s="258">
        <v>23</v>
      </c>
      <c r="W34" s="258">
        <v>453485</v>
      </c>
      <c r="X34" s="258">
        <v>0</v>
      </c>
      <c r="Y34" s="245"/>
      <c r="Z34" s="253" t="s">
        <v>601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601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603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603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601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604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536</v>
      </c>
      <c r="BQ34" s="264" t="s">
        <v>564</v>
      </c>
      <c r="BR34" s="264" t="s">
        <v>565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/>
      <c r="CT34" s="275"/>
      <c r="CU34" s="275"/>
      <c r="CV34" s="275"/>
      <c r="CW34" s="275"/>
      <c r="CX34" s="275"/>
      <c r="CY34" s="275"/>
      <c r="CZ34" s="275"/>
      <c r="DA34" s="275"/>
      <c r="DB34" s="275"/>
      <c r="DC34" s="275"/>
      <c r="DD34" s="275"/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58476.624193839998</v>
      </c>
      <c r="I35" s="164"/>
      <c r="J35" s="157"/>
      <c r="K35" s="228"/>
      <c r="L35" s="228"/>
      <c r="M35" s="228"/>
      <c r="O35" s="241" t="s">
        <v>279</v>
      </c>
      <c r="P35" s="241">
        <v>58852.882146869997</v>
      </c>
      <c r="Q35" s="239"/>
      <c r="R35" s="157"/>
      <c r="S35" s="253" t="s">
        <v>448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602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602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604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604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602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605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7167423501.1800003</v>
      </c>
      <c r="BQ35" s="263">
        <v>78143</v>
      </c>
      <c r="BR35" s="263">
        <v>162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19013.41907457</v>
      </c>
      <c r="I36" s="164"/>
      <c r="J36" s="157"/>
      <c r="K36" s="228"/>
      <c r="L36" s="228"/>
      <c r="M36" s="228"/>
      <c r="O36" s="241" t="s">
        <v>280</v>
      </c>
      <c r="P36" s="241">
        <v>17286.7230929</v>
      </c>
      <c r="Q36" s="239"/>
      <c r="R36" s="157"/>
      <c r="S36" s="253" t="s">
        <v>446</v>
      </c>
      <c r="T36" s="258">
        <v>2702464843.3200002</v>
      </c>
      <c r="U36" s="258">
        <v>419216</v>
      </c>
      <c r="V36" s="258">
        <v>636</v>
      </c>
      <c r="W36" s="258">
        <v>925459</v>
      </c>
      <c r="X36" s="258">
        <v>0</v>
      </c>
      <c r="Y36" s="245"/>
      <c r="Z36" s="253" t="s">
        <v>603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603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605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605</v>
      </c>
      <c r="AV36" s="253">
        <v>0</v>
      </c>
      <c r="AW36" s="253">
        <v>0</v>
      </c>
      <c r="AX36" s="253">
        <v>0</v>
      </c>
      <c r="AY36" s="253">
        <v>0</v>
      </c>
      <c r="AZ36" s="253">
        <v>0</v>
      </c>
      <c r="BA36" s="245"/>
      <c r="BB36" s="253" t="s">
        <v>603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606</v>
      </c>
      <c r="BI36" s="253">
        <v>51207.45</v>
      </c>
      <c r="BJ36" s="253">
        <v>15</v>
      </c>
      <c r="BK36" s="253">
        <v>2</v>
      </c>
      <c r="BL36" s="253">
        <v>3962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37294.057213380001</v>
      </c>
      <c r="I37" s="164"/>
      <c r="J37" s="157"/>
      <c r="K37" s="228"/>
      <c r="L37" s="228"/>
      <c r="M37" s="228"/>
      <c r="O37" s="241" t="s">
        <v>281</v>
      </c>
      <c r="P37" s="241">
        <v>33555.808805120003</v>
      </c>
      <c r="Q37" s="239"/>
      <c r="R37" s="157"/>
      <c r="S37" s="253" t="s">
        <v>449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45"/>
      <c r="Z37" s="253" t="s">
        <v>604</v>
      </c>
      <c r="AA37" s="253">
        <v>0</v>
      </c>
      <c r="AB37" s="253">
        <v>0</v>
      </c>
      <c r="AC37" s="253">
        <v>0</v>
      </c>
      <c r="AD37" s="253">
        <v>0</v>
      </c>
      <c r="AE37" s="253">
        <v>0</v>
      </c>
      <c r="AF37" s="253"/>
      <c r="AG37" s="253" t="s">
        <v>604</v>
      </c>
      <c r="AH37" s="253">
        <v>0</v>
      </c>
      <c r="AI37" s="253">
        <v>0</v>
      </c>
      <c r="AJ37" s="253">
        <v>0</v>
      </c>
      <c r="AK37" s="253">
        <v>0</v>
      </c>
      <c r="AL37" s="253">
        <v>0</v>
      </c>
      <c r="AM37" s="245"/>
      <c r="AN37" s="253" t="s">
        <v>606</v>
      </c>
      <c r="AO37" s="253">
        <v>4700747.7</v>
      </c>
      <c r="AP37" s="253">
        <v>349</v>
      </c>
      <c r="AQ37" s="253">
        <v>69</v>
      </c>
      <c r="AR37" s="253">
        <v>35943</v>
      </c>
      <c r="AS37" s="253">
        <v>0</v>
      </c>
      <c r="AT37" s="245"/>
      <c r="AU37" s="253" t="s">
        <v>606</v>
      </c>
      <c r="AV37" s="253">
        <v>158000</v>
      </c>
      <c r="AW37" s="253">
        <v>12</v>
      </c>
      <c r="AX37" s="253">
        <v>3</v>
      </c>
      <c r="AY37" s="253">
        <v>1708</v>
      </c>
      <c r="AZ37" s="253">
        <v>0</v>
      </c>
      <c r="BA37" s="245"/>
      <c r="BB37" s="253" t="s">
        <v>604</v>
      </c>
      <c r="BC37" s="253">
        <v>0</v>
      </c>
      <c r="BD37" s="253">
        <v>0</v>
      </c>
      <c r="BE37" s="253">
        <v>0</v>
      </c>
      <c r="BF37" s="253">
        <v>0</v>
      </c>
      <c r="BG37" s="253">
        <v>0</v>
      </c>
      <c r="BH37" s="247" t="s">
        <v>607</v>
      </c>
      <c r="BI37" s="253">
        <v>4505312.33</v>
      </c>
      <c r="BJ37" s="253">
        <v>517</v>
      </c>
      <c r="BK37" s="253">
        <v>175</v>
      </c>
      <c r="BL37" s="253">
        <v>21784</v>
      </c>
      <c r="BM37" s="253">
        <v>0</v>
      </c>
      <c r="BN37" s="253"/>
      <c r="BO37" s="256" t="s">
        <v>473</v>
      </c>
      <c r="BP37" s="264" t="s">
        <v>536</v>
      </c>
      <c r="BQ37" s="264" t="s">
        <v>564</v>
      </c>
      <c r="BR37" s="264" t="s">
        <v>565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49667.101477080003</v>
      </c>
      <c r="I38" s="164"/>
      <c r="J38" s="157"/>
      <c r="K38" s="228"/>
      <c r="L38" s="228"/>
      <c r="M38" s="228"/>
      <c r="O38" s="241" t="s">
        <v>56</v>
      </c>
      <c r="P38" s="241">
        <v>47955.984405989999</v>
      </c>
      <c r="Q38" s="239"/>
      <c r="R38" s="157"/>
      <c r="S38" s="253" t="s">
        <v>447</v>
      </c>
      <c r="T38" s="258">
        <v>1295136273.21</v>
      </c>
      <c r="U38" s="258">
        <v>409384</v>
      </c>
      <c r="V38" s="258">
        <v>644</v>
      </c>
      <c r="W38" s="258">
        <v>1275176</v>
      </c>
      <c r="X38" s="258">
        <v>0</v>
      </c>
      <c r="Y38" s="245"/>
      <c r="Z38" s="253" t="s">
        <v>605</v>
      </c>
      <c r="AA38" s="253">
        <v>0</v>
      </c>
      <c r="AB38" s="253">
        <v>0</v>
      </c>
      <c r="AC38" s="253">
        <v>0</v>
      </c>
      <c r="AD38" s="253">
        <v>0</v>
      </c>
      <c r="AE38" s="253">
        <v>0</v>
      </c>
      <c r="AF38" s="253"/>
      <c r="AG38" s="253" t="s">
        <v>605</v>
      </c>
      <c r="AH38" s="253">
        <v>0</v>
      </c>
      <c r="AI38" s="253">
        <v>0</v>
      </c>
      <c r="AJ38" s="253">
        <v>0</v>
      </c>
      <c r="AK38" s="253">
        <v>0</v>
      </c>
      <c r="AL38" s="253">
        <v>0</v>
      </c>
      <c r="AM38" s="245"/>
      <c r="AN38" s="253" t="s">
        <v>607</v>
      </c>
      <c r="AO38" s="253">
        <v>1544587240.69999</v>
      </c>
      <c r="AP38" s="253">
        <v>33714</v>
      </c>
      <c r="AQ38" s="253">
        <v>4953</v>
      </c>
      <c r="AR38" s="253">
        <v>1122268</v>
      </c>
      <c r="AS38" s="253">
        <v>0</v>
      </c>
      <c r="AT38" s="245"/>
      <c r="AU38" s="253" t="s">
        <v>607</v>
      </c>
      <c r="AV38" s="253">
        <v>20346421.350000001</v>
      </c>
      <c r="AW38" s="253">
        <v>1047</v>
      </c>
      <c r="AX38" s="253">
        <v>193</v>
      </c>
      <c r="AY38" s="253">
        <v>55078</v>
      </c>
      <c r="AZ38" s="253">
        <v>0</v>
      </c>
      <c r="BA38" s="245"/>
      <c r="BB38" s="253" t="s">
        <v>605</v>
      </c>
      <c r="BC38" s="253">
        <v>0</v>
      </c>
      <c r="BD38" s="253">
        <v>0</v>
      </c>
      <c r="BE38" s="253">
        <v>0</v>
      </c>
      <c r="BF38" s="253">
        <v>0</v>
      </c>
      <c r="BG38" s="253">
        <v>0</v>
      </c>
      <c r="BH38" s="247" t="s">
        <v>608</v>
      </c>
      <c r="BI38" s="253">
        <v>1618127.4</v>
      </c>
      <c r="BJ38" s="253">
        <v>222</v>
      </c>
      <c r="BK38" s="253">
        <v>12</v>
      </c>
      <c r="BL38" s="253">
        <v>10693</v>
      </c>
      <c r="BM38" s="253">
        <v>0</v>
      </c>
      <c r="BN38" s="253"/>
      <c r="BO38" s="247"/>
      <c r="BP38" s="263">
        <v>349590298582.16998</v>
      </c>
      <c r="BQ38" s="263">
        <v>3176326</v>
      </c>
      <c r="BR38" s="263">
        <v>2618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72816.430980520003</v>
      </c>
      <c r="I39" s="164"/>
      <c r="J39" s="157"/>
      <c r="K39" s="228"/>
      <c r="L39" s="228"/>
      <c r="M39" s="228"/>
      <c r="O39" s="241" t="s">
        <v>45</v>
      </c>
      <c r="P39" s="241">
        <v>71195.933678419999</v>
      </c>
      <c r="Q39" s="239"/>
      <c r="R39" s="157"/>
      <c r="S39" s="253" t="s">
        <v>568</v>
      </c>
      <c r="T39" s="258">
        <v>0</v>
      </c>
      <c r="U39" s="258">
        <v>0</v>
      </c>
      <c r="V39" s="258">
        <v>0</v>
      </c>
      <c r="W39" s="258">
        <v>0</v>
      </c>
      <c r="X39" s="258">
        <v>1</v>
      </c>
      <c r="Y39" s="245"/>
      <c r="Z39" s="253" t="s">
        <v>606</v>
      </c>
      <c r="AA39" s="253">
        <v>2150843.12</v>
      </c>
      <c r="AB39" s="253">
        <v>404</v>
      </c>
      <c r="AC39" s="253">
        <v>39</v>
      </c>
      <c r="AD39" s="253">
        <v>32754</v>
      </c>
      <c r="AE39" s="253">
        <v>0</v>
      </c>
      <c r="AF39" s="253"/>
      <c r="AG39" s="253" t="s">
        <v>606</v>
      </c>
      <c r="AH39" s="253">
        <v>212470</v>
      </c>
      <c r="AI39" s="253">
        <v>46</v>
      </c>
      <c r="AJ39" s="253">
        <v>4</v>
      </c>
      <c r="AK39" s="253">
        <v>934</v>
      </c>
      <c r="AL39" s="253">
        <v>0</v>
      </c>
      <c r="AM39" s="245"/>
      <c r="AN39" s="253" t="s">
        <v>608</v>
      </c>
      <c r="AO39" s="253">
        <v>167399560.41999999</v>
      </c>
      <c r="AP39" s="253">
        <v>14456</v>
      </c>
      <c r="AQ39" s="253">
        <v>495</v>
      </c>
      <c r="AR39" s="253">
        <v>412029</v>
      </c>
      <c r="AS39" s="253">
        <v>0</v>
      </c>
      <c r="AT39" s="245"/>
      <c r="AU39" s="253" t="s">
        <v>608</v>
      </c>
      <c r="AV39" s="253">
        <v>3672276.8</v>
      </c>
      <c r="AW39" s="253">
        <v>547</v>
      </c>
      <c r="AX39" s="253">
        <v>54</v>
      </c>
      <c r="AY39" s="253">
        <v>21167</v>
      </c>
      <c r="AZ39" s="253">
        <v>0</v>
      </c>
      <c r="BA39" s="245"/>
      <c r="BB39" s="253" t="s">
        <v>606</v>
      </c>
      <c r="BC39" s="253">
        <v>4513889.67</v>
      </c>
      <c r="BD39" s="253">
        <v>803</v>
      </c>
      <c r="BE39" s="253">
        <v>180</v>
      </c>
      <c r="BF39" s="253">
        <v>83499</v>
      </c>
      <c r="BG39" s="253">
        <v>0</v>
      </c>
      <c r="BH39" s="247" t="s">
        <v>609</v>
      </c>
      <c r="BI39" s="253">
        <v>0</v>
      </c>
      <c r="BJ39" s="253">
        <v>0</v>
      </c>
      <c r="BK39" s="253">
        <v>0</v>
      </c>
      <c r="BL39" s="253">
        <v>0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49353.711452039999</v>
      </c>
      <c r="I40" s="164"/>
      <c r="J40" s="157"/>
      <c r="K40" s="228"/>
      <c r="L40" s="228"/>
      <c r="M40" s="228"/>
      <c r="O40" s="241" t="s">
        <v>47</v>
      </c>
      <c r="P40" s="241">
        <v>50792.08527738</v>
      </c>
      <c r="Q40" s="239"/>
      <c r="R40" s="157"/>
      <c r="S40" s="253" t="s">
        <v>451</v>
      </c>
      <c r="T40" s="258">
        <v>2263310999.0700002</v>
      </c>
      <c r="U40" s="258">
        <v>121805</v>
      </c>
      <c r="V40" s="258">
        <v>137</v>
      </c>
      <c r="W40" s="258">
        <v>137721</v>
      </c>
      <c r="X40" s="258">
        <v>1</v>
      </c>
      <c r="Y40" s="245"/>
      <c r="Z40" s="253" t="s">
        <v>607</v>
      </c>
      <c r="AA40" s="253">
        <v>331492570.36000001</v>
      </c>
      <c r="AB40" s="253">
        <v>24444</v>
      </c>
      <c r="AC40" s="253">
        <v>2958</v>
      </c>
      <c r="AD40" s="253">
        <v>958028</v>
      </c>
      <c r="AE40" s="253">
        <v>0</v>
      </c>
      <c r="AF40" s="253"/>
      <c r="AG40" s="253" t="s">
        <v>607</v>
      </c>
      <c r="AH40" s="253">
        <v>24548288.300000001</v>
      </c>
      <c r="AI40" s="253">
        <v>390</v>
      </c>
      <c r="AJ40" s="253">
        <v>83</v>
      </c>
      <c r="AK40" s="253">
        <v>26841</v>
      </c>
      <c r="AL40" s="253">
        <v>0</v>
      </c>
      <c r="AM40" s="245"/>
      <c r="AN40" s="253" t="s">
        <v>609</v>
      </c>
      <c r="AO40" s="253">
        <v>0</v>
      </c>
      <c r="AP40" s="253">
        <v>0</v>
      </c>
      <c r="AQ40" s="253">
        <v>0</v>
      </c>
      <c r="AR40" s="253">
        <v>0</v>
      </c>
      <c r="AS40" s="253">
        <v>1</v>
      </c>
      <c r="AT40" s="245"/>
      <c r="AU40" s="253" t="s">
        <v>609</v>
      </c>
      <c r="AV40" s="253">
        <v>0</v>
      </c>
      <c r="AW40" s="253">
        <v>0</v>
      </c>
      <c r="AX40" s="253">
        <v>0</v>
      </c>
      <c r="AY40" s="253">
        <v>0</v>
      </c>
      <c r="AZ40" s="253">
        <v>1</v>
      </c>
      <c r="BA40" s="245"/>
      <c r="BB40" s="253" t="s">
        <v>607</v>
      </c>
      <c r="BC40" s="253">
        <v>97446361.259990007</v>
      </c>
      <c r="BD40" s="253">
        <v>14890</v>
      </c>
      <c r="BE40" s="253">
        <v>1831</v>
      </c>
      <c r="BF40" s="253">
        <v>714305</v>
      </c>
      <c r="BG40" s="253">
        <v>0</v>
      </c>
      <c r="BH40" s="247" t="s">
        <v>569</v>
      </c>
      <c r="BI40" s="253">
        <v>302510480.44</v>
      </c>
      <c r="BJ40" s="253">
        <v>1680</v>
      </c>
      <c r="BK40" s="253">
        <v>127</v>
      </c>
      <c r="BL40" s="253">
        <v>15570</v>
      </c>
      <c r="BM40" s="253">
        <v>1</v>
      </c>
      <c r="BN40" s="253"/>
      <c r="BO40" s="256" t="s">
        <v>474</v>
      </c>
      <c r="BP40" s="264" t="s">
        <v>536</v>
      </c>
      <c r="BQ40" s="264" t="s">
        <v>564</v>
      </c>
      <c r="BR40" s="264" t="s">
        <v>565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56002.082073220001</v>
      </c>
      <c r="I41" s="164"/>
      <c r="J41" s="157"/>
      <c r="K41" s="228"/>
      <c r="L41" s="228"/>
      <c r="M41" s="228"/>
      <c r="O41" s="241" t="s">
        <v>43</v>
      </c>
      <c r="P41" s="241">
        <v>54156.749000260003</v>
      </c>
      <c r="Q41" s="239"/>
      <c r="R41" s="157"/>
      <c r="S41" s="253" t="s">
        <v>448</v>
      </c>
      <c r="T41" s="258">
        <v>47660</v>
      </c>
      <c r="U41" s="258">
        <v>251274</v>
      </c>
      <c r="V41" s="258">
        <v>4312</v>
      </c>
      <c r="W41" s="258">
        <v>767993</v>
      </c>
      <c r="X41" s="258">
        <v>1</v>
      </c>
      <c r="Y41" s="245"/>
      <c r="Z41" s="253" t="s">
        <v>608</v>
      </c>
      <c r="AA41" s="253">
        <v>57804733.780000001</v>
      </c>
      <c r="AB41" s="253">
        <v>7568</v>
      </c>
      <c r="AC41" s="253">
        <v>393</v>
      </c>
      <c r="AD41" s="253">
        <v>414127</v>
      </c>
      <c r="AE41" s="253">
        <v>0</v>
      </c>
      <c r="AF41" s="253"/>
      <c r="AG41" s="253" t="s">
        <v>608</v>
      </c>
      <c r="AH41" s="253">
        <v>1293226.3999999999</v>
      </c>
      <c r="AI41" s="253">
        <v>85</v>
      </c>
      <c r="AJ41" s="253">
        <v>9</v>
      </c>
      <c r="AK41" s="253">
        <v>14900</v>
      </c>
      <c r="AL41" s="253">
        <v>0</v>
      </c>
      <c r="AM41" s="245"/>
      <c r="AN41" s="253" t="s">
        <v>569</v>
      </c>
      <c r="AO41" s="253">
        <v>5668399518.2049999</v>
      </c>
      <c r="AP41" s="253">
        <v>25160</v>
      </c>
      <c r="AQ41" s="253">
        <v>2960</v>
      </c>
      <c r="AR41" s="253">
        <v>406665</v>
      </c>
      <c r="AS41" s="253">
        <v>1</v>
      </c>
      <c r="AT41" s="245"/>
      <c r="AU41" s="253" t="s">
        <v>569</v>
      </c>
      <c r="AV41" s="253">
        <v>388668271.39499998</v>
      </c>
      <c r="AW41" s="253">
        <v>1728</v>
      </c>
      <c r="AX41" s="253">
        <v>120</v>
      </c>
      <c r="AY41" s="253">
        <v>18066</v>
      </c>
      <c r="AZ41" s="253">
        <v>1</v>
      </c>
      <c r="BA41" s="245"/>
      <c r="BB41" s="253" t="s">
        <v>608</v>
      </c>
      <c r="BC41" s="253">
        <v>33384187.870000001</v>
      </c>
      <c r="BD41" s="253">
        <v>5930</v>
      </c>
      <c r="BE41" s="253">
        <v>447</v>
      </c>
      <c r="BF41" s="253">
        <v>270504</v>
      </c>
      <c r="BG41" s="253">
        <v>0</v>
      </c>
      <c r="BH41" s="247" t="s">
        <v>613</v>
      </c>
      <c r="BI41" s="253">
        <v>0</v>
      </c>
      <c r="BJ41" s="253">
        <v>0</v>
      </c>
      <c r="BK41" s="253">
        <v>0</v>
      </c>
      <c r="BL41" s="253">
        <v>0</v>
      </c>
      <c r="BM41" s="253">
        <v>1</v>
      </c>
      <c r="BN41" s="253"/>
      <c r="BO41" s="245"/>
      <c r="BP41" s="263">
        <v>12174956584.950001</v>
      </c>
      <c r="BQ41" s="263">
        <v>115382</v>
      </c>
      <c r="BR41" s="263">
        <v>205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6503.58728677</v>
      </c>
      <c r="I42" s="164"/>
      <c r="J42" s="157"/>
      <c r="K42" s="228"/>
      <c r="L42" s="228"/>
      <c r="M42" s="228"/>
      <c r="O42" s="241" t="s">
        <v>49</v>
      </c>
      <c r="P42" s="241">
        <v>6615.5290075499997</v>
      </c>
      <c r="Q42" s="239"/>
      <c r="R42" s="157"/>
      <c r="S42" s="253" t="s">
        <v>182</v>
      </c>
      <c r="T42" s="258">
        <v>36356737.798</v>
      </c>
      <c r="U42" s="258">
        <v>915154</v>
      </c>
      <c r="V42" s="258">
        <v>150</v>
      </c>
      <c r="W42" s="258">
        <v>2012411</v>
      </c>
      <c r="X42" s="258">
        <v>1</v>
      </c>
      <c r="Y42" s="245"/>
      <c r="Z42" s="253" t="s">
        <v>609</v>
      </c>
      <c r="AA42" s="253">
        <v>0</v>
      </c>
      <c r="AB42" s="253">
        <v>0</v>
      </c>
      <c r="AC42" s="253">
        <v>0</v>
      </c>
      <c r="AD42" s="253">
        <v>0</v>
      </c>
      <c r="AE42" s="253">
        <v>1</v>
      </c>
      <c r="AF42" s="253"/>
      <c r="AG42" s="253" t="s">
        <v>609</v>
      </c>
      <c r="AH42" s="253">
        <v>0</v>
      </c>
      <c r="AI42" s="253">
        <v>0</v>
      </c>
      <c r="AJ42" s="253">
        <v>0</v>
      </c>
      <c r="AK42" s="253">
        <v>0</v>
      </c>
      <c r="AL42" s="253">
        <v>1</v>
      </c>
      <c r="AM42" s="245"/>
      <c r="AN42" s="253" t="s">
        <v>570</v>
      </c>
      <c r="AO42" s="253">
        <v>68801138.349999994</v>
      </c>
      <c r="AP42" s="253">
        <v>836</v>
      </c>
      <c r="AQ42" s="253">
        <v>48</v>
      </c>
      <c r="AR42" s="253">
        <v>31056</v>
      </c>
      <c r="AS42" s="253">
        <v>1</v>
      </c>
      <c r="AT42" s="245"/>
      <c r="AU42" s="253" t="s">
        <v>570</v>
      </c>
      <c r="AV42" s="253">
        <v>0</v>
      </c>
      <c r="AW42" s="253">
        <v>0</v>
      </c>
      <c r="AX42" s="253">
        <v>0</v>
      </c>
      <c r="AY42" s="253">
        <v>1311</v>
      </c>
      <c r="AZ42" s="253">
        <v>1</v>
      </c>
      <c r="BA42" s="245"/>
      <c r="BB42" s="253" t="s">
        <v>609</v>
      </c>
      <c r="BC42" s="253">
        <v>0</v>
      </c>
      <c r="BD42" s="253">
        <v>0</v>
      </c>
      <c r="BE42" s="253">
        <v>0</v>
      </c>
      <c r="BF42" s="253">
        <v>0</v>
      </c>
      <c r="BG42" s="253">
        <v>1</v>
      </c>
      <c r="BH42" s="247" t="s">
        <v>570</v>
      </c>
      <c r="BI42" s="253">
        <v>3371630</v>
      </c>
      <c r="BJ42" s="253">
        <v>43</v>
      </c>
      <c r="BK42" s="253">
        <v>6</v>
      </c>
      <c r="BL42" s="253">
        <v>2626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545</v>
      </c>
      <c r="H43" s="223">
        <v>55477.067107969997</v>
      </c>
      <c r="I43" s="164"/>
      <c r="J43" s="157"/>
      <c r="K43" s="228"/>
      <c r="L43" s="228"/>
      <c r="M43" s="228"/>
      <c r="O43" s="241" t="s">
        <v>545</v>
      </c>
      <c r="P43" s="241">
        <v>53413.921057150001</v>
      </c>
      <c r="Q43" s="239"/>
      <c r="S43" s="245" t="s">
        <v>446</v>
      </c>
      <c r="T43" s="245">
        <v>279444423813.61591</v>
      </c>
      <c r="U43" s="245">
        <v>859162</v>
      </c>
      <c r="V43" s="245">
        <v>261519</v>
      </c>
      <c r="W43" s="245">
        <v>548165</v>
      </c>
      <c r="X43" s="245">
        <v>1</v>
      </c>
      <c r="Y43" s="245"/>
      <c r="Z43" s="253" t="s">
        <v>569</v>
      </c>
      <c r="AA43" s="253">
        <v>11038781405.23</v>
      </c>
      <c r="AB43" s="253">
        <v>49037</v>
      </c>
      <c r="AC43" s="253">
        <v>4667</v>
      </c>
      <c r="AD43" s="253">
        <v>361896</v>
      </c>
      <c r="AE43" s="253">
        <v>1</v>
      </c>
      <c r="AF43" s="253"/>
      <c r="AG43" s="253" t="s">
        <v>569</v>
      </c>
      <c r="AH43" s="253">
        <v>656837307.02999997</v>
      </c>
      <c r="AI43" s="253">
        <v>2944</v>
      </c>
      <c r="AJ43" s="253">
        <v>192</v>
      </c>
      <c r="AK43" s="253">
        <v>17431</v>
      </c>
      <c r="AL43" s="253">
        <v>1</v>
      </c>
      <c r="AM43" s="245"/>
      <c r="AN43" s="253" t="s">
        <v>571</v>
      </c>
      <c r="AO43" s="253">
        <v>2658600.6</v>
      </c>
      <c r="AP43" s="253">
        <v>45</v>
      </c>
      <c r="AQ43" s="253">
        <v>18</v>
      </c>
      <c r="AR43" s="253">
        <v>689</v>
      </c>
      <c r="AS43" s="253">
        <v>1</v>
      </c>
      <c r="AT43" s="245"/>
      <c r="AU43" s="253" t="s">
        <v>571</v>
      </c>
      <c r="AV43" s="253">
        <v>0</v>
      </c>
      <c r="AW43" s="253">
        <v>0</v>
      </c>
      <c r="AX43" s="253">
        <v>0</v>
      </c>
      <c r="AY43" s="253">
        <v>31</v>
      </c>
      <c r="AZ43" s="253">
        <v>1</v>
      </c>
      <c r="BA43" s="245"/>
      <c r="BB43" s="253" t="s">
        <v>569</v>
      </c>
      <c r="BC43" s="253">
        <v>6938417443.9099998</v>
      </c>
      <c r="BD43" s="253">
        <v>38359</v>
      </c>
      <c r="BE43" s="253">
        <v>4217</v>
      </c>
      <c r="BF43" s="253">
        <v>304578</v>
      </c>
      <c r="BG43" s="253">
        <v>1</v>
      </c>
      <c r="BH43" s="247" t="s">
        <v>571</v>
      </c>
      <c r="BI43" s="253">
        <v>0</v>
      </c>
      <c r="BJ43" s="253">
        <v>0</v>
      </c>
      <c r="BK43" s="253">
        <v>0</v>
      </c>
      <c r="BL43" s="253">
        <v>0</v>
      </c>
      <c r="BM43" s="253">
        <v>1</v>
      </c>
      <c r="BN43" s="253"/>
      <c r="BO43" s="252" t="s">
        <v>488</v>
      </c>
      <c r="BP43" s="264" t="s">
        <v>566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546</v>
      </c>
      <c r="H44" s="223">
        <v>54600.054707050003</v>
      </c>
      <c r="I44" s="164"/>
      <c r="J44" s="157"/>
      <c r="K44" s="228"/>
      <c r="L44" s="228"/>
      <c r="M44" s="228"/>
      <c r="O44" s="241" t="s">
        <v>546</v>
      </c>
      <c r="P44" s="241">
        <v>52693.468226880002</v>
      </c>
      <c r="Q44" s="239"/>
      <c r="S44" s="245" t="s">
        <v>449</v>
      </c>
      <c r="T44" s="245">
        <v>65658645.192000002</v>
      </c>
      <c r="U44" s="245">
        <v>101142</v>
      </c>
      <c r="V44" s="245">
        <v>60</v>
      </c>
      <c r="W44" s="245">
        <v>1649592</v>
      </c>
      <c r="X44" s="245">
        <v>1</v>
      </c>
      <c r="Y44" s="245"/>
      <c r="Z44" s="253" t="s">
        <v>570</v>
      </c>
      <c r="AA44" s="253">
        <v>118337196.17</v>
      </c>
      <c r="AB44" s="253">
        <v>1378</v>
      </c>
      <c r="AC44" s="253">
        <v>40</v>
      </c>
      <c r="AD44" s="253">
        <v>22700</v>
      </c>
      <c r="AE44" s="253">
        <v>1</v>
      </c>
      <c r="AF44" s="253"/>
      <c r="AG44" s="253" t="s">
        <v>570</v>
      </c>
      <c r="AH44" s="253">
        <v>1849184.88</v>
      </c>
      <c r="AI44" s="253">
        <v>20</v>
      </c>
      <c r="AJ44" s="253">
        <v>7</v>
      </c>
      <c r="AK44" s="253">
        <v>1211</v>
      </c>
      <c r="AL44" s="253">
        <v>1</v>
      </c>
      <c r="AM44" s="245"/>
      <c r="AN44" s="253" t="s">
        <v>572</v>
      </c>
      <c r="AO44" s="253">
        <v>0</v>
      </c>
      <c r="AP44" s="253">
        <v>0</v>
      </c>
      <c r="AQ44" s="253">
        <v>0</v>
      </c>
      <c r="AR44" s="253">
        <v>0</v>
      </c>
      <c r="AS44" s="253">
        <v>1</v>
      </c>
      <c r="AT44" s="245"/>
      <c r="AU44" s="253" t="s">
        <v>572</v>
      </c>
      <c r="AV44" s="253">
        <v>0</v>
      </c>
      <c r="AW44" s="253">
        <v>0</v>
      </c>
      <c r="AX44" s="253">
        <v>0</v>
      </c>
      <c r="AY44" s="253">
        <v>0</v>
      </c>
      <c r="AZ44" s="253">
        <v>1</v>
      </c>
      <c r="BA44" s="245"/>
      <c r="BB44" s="253" t="s">
        <v>613</v>
      </c>
      <c r="BC44" s="253">
        <v>16286250</v>
      </c>
      <c r="BD44" s="253">
        <v>250</v>
      </c>
      <c r="BE44" s="253">
        <v>2</v>
      </c>
      <c r="BF44" s="253">
        <v>750</v>
      </c>
      <c r="BG44" s="253">
        <v>1</v>
      </c>
      <c r="BH44" s="247" t="s">
        <v>572</v>
      </c>
      <c r="BI44" s="253">
        <v>0</v>
      </c>
      <c r="BJ44" s="253">
        <v>0</v>
      </c>
      <c r="BK44" s="253">
        <v>0</v>
      </c>
      <c r="BL44" s="253">
        <v>0</v>
      </c>
      <c r="BM44" s="253">
        <v>1</v>
      </c>
      <c r="BN44" s="253"/>
      <c r="BO44" s="247"/>
      <c r="BP44" s="263">
        <v>1077620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3797.2286903700001</v>
      </c>
      <c r="I45" s="164"/>
      <c r="J45" s="157"/>
      <c r="K45" s="228"/>
      <c r="L45" s="228"/>
      <c r="M45" s="228"/>
      <c r="O45" s="241" t="s">
        <v>282</v>
      </c>
      <c r="P45" s="241">
        <v>3884.6790724000002</v>
      </c>
      <c r="Q45" s="239"/>
      <c r="S45" s="254" t="s">
        <v>450</v>
      </c>
      <c r="T45" s="257">
        <v>0</v>
      </c>
      <c r="U45" s="257">
        <v>95884</v>
      </c>
      <c r="V45" s="257">
        <v>59</v>
      </c>
      <c r="W45" s="257">
        <v>1558903</v>
      </c>
      <c r="X45" s="257">
        <v>1</v>
      </c>
      <c r="Y45" s="245"/>
      <c r="Z45" s="253" t="s">
        <v>571</v>
      </c>
      <c r="AA45" s="253">
        <v>1893610</v>
      </c>
      <c r="AB45" s="253">
        <v>30</v>
      </c>
      <c r="AC45" s="253">
        <v>8</v>
      </c>
      <c r="AD45" s="253">
        <v>440</v>
      </c>
      <c r="AE45" s="253">
        <v>1</v>
      </c>
      <c r="AF45" s="253"/>
      <c r="AG45" s="253" t="s">
        <v>571</v>
      </c>
      <c r="AH45" s="253">
        <v>0</v>
      </c>
      <c r="AI45" s="253">
        <v>0</v>
      </c>
      <c r="AJ45" s="253">
        <v>0</v>
      </c>
      <c r="AK45" s="253">
        <v>17</v>
      </c>
      <c r="AL45" s="253">
        <v>1</v>
      </c>
      <c r="AM45" s="245"/>
      <c r="AN45" s="253" t="s">
        <v>573</v>
      </c>
      <c r="AO45" s="253">
        <v>1155000</v>
      </c>
      <c r="AP45" s="253">
        <v>28</v>
      </c>
      <c r="AQ45" s="253">
        <v>6</v>
      </c>
      <c r="AR45" s="253">
        <v>2590</v>
      </c>
      <c r="AS45" s="253">
        <v>1</v>
      </c>
      <c r="AT45" s="245"/>
      <c r="AU45" s="253" t="s">
        <v>573</v>
      </c>
      <c r="AV45" s="253">
        <v>0</v>
      </c>
      <c r="AW45" s="253">
        <v>0</v>
      </c>
      <c r="AX45" s="253">
        <v>0</v>
      </c>
      <c r="AY45" s="253">
        <v>122</v>
      </c>
      <c r="AZ45" s="253">
        <v>1</v>
      </c>
      <c r="BA45" s="245"/>
      <c r="BB45" s="253" t="s">
        <v>570</v>
      </c>
      <c r="BC45" s="253">
        <v>66297817.75</v>
      </c>
      <c r="BD45" s="253">
        <v>824</v>
      </c>
      <c r="BE45" s="253">
        <v>63</v>
      </c>
      <c r="BF45" s="253">
        <v>55045</v>
      </c>
      <c r="BG45" s="253">
        <v>1</v>
      </c>
      <c r="BH45" s="247" t="s">
        <v>573</v>
      </c>
      <c r="BI45" s="253">
        <v>0</v>
      </c>
      <c r="BJ45" s="253">
        <v>0</v>
      </c>
      <c r="BK45" s="253">
        <v>0</v>
      </c>
      <c r="BL45" s="253">
        <v>38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45544.518721690001</v>
      </c>
      <c r="I46" s="164"/>
      <c r="J46" s="157"/>
      <c r="K46" s="228"/>
      <c r="L46" s="228"/>
      <c r="M46" s="228"/>
      <c r="O46" s="241" t="s">
        <v>61</v>
      </c>
      <c r="P46" s="241">
        <v>42155.083364190003</v>
      </c>
      <c r="Q46" s="239"/>
      <c r="S46" s="253" t="s">
        <v>447</v>
      </c>
      <c r="T46" s="258">
        <v>7900385256.6999998</v>
      </c>
      <c r="U46" s="258">
        <v>342805</v>
      </c>
      <c r="V46" s="258">
        <v>4431</v>
      </c>
      <c r="W46" s="258">
        <v>963916</v>
      </c>
      <c r="X46" s="258">
        <v>1</v>
      </c>
      <c r="Y46" s="245"/>
      <c r="Z46" s="253" t="s">
        <v>572</v>
      </c>
      <c r="AA46" s="253">
        <v>0</v>
      </c>
      <c r="AB46" s="253">
        <v>0</v>
      </c>
      <c r="AC46" s="253">
        <v>0</v>
      </c>
      <c r="AD46" s="253">
        <v>0</v>
      </c>
      <c r="AE46" s="253">
        <v>1</v>
      </c>
      <c r="AF46" s="253"/>
      <c r="AG46" s="253" t="s">
        <v>572</v>
      </c>
      <c r="AH46" s="253">
        <v>0</v>
      </c>
      <c r="AI46" s="253">
        <v>0</v>
      </c>
      <c r="AJ46" s="253">
        <v>0</v>
      </c>
      <c r="AK46" s="253">
        <v>0</v>
      </c>
      <c r="AL46" s="253">
        <v>1</v>
      </c>
      <c r="AM46" s="245"/>
      <c r="AN46" s="253" t="s">
        <v>574</v>
      </c>
      <c r="AO46" s="253">
        <v>1108000</v>
      </c>
      <c r="AP46" s="253">
        <v>12</v>
      </c>
      <c r="AQ46" s="253">
        <v>3</v>
      </c>
      <c r="AR46" s="253">
        <v>2094</v>
      </c>
      <c r="AS46" s="253">
        <v>1</v>
      </c>
      <c r="AT46" s="245"/>
      <c r="AU46" s="253" t="s">
        <v>574</v>
      </c>
      <c r="AV46" s="253">
        <v>0</v>
      </c>
      <c r="AW46" s="253">
        <v>0</v>
      </c>
      <c r="AX46" s="253">
        <v>0</v>
      </c>
      <c r="AY46" s="253">
        <v>87</v>
      </c>
      <c r="AZ46" s="253">
        <v>1</v>
      </c>
      <c r="BA46" s="245"/>
      <c r="BB46" s="253" t="s">
        <v>571</v>
      </c>
      <c r="BC46" s="253">
        <v>123190</v>
      </c>
      <c r="BD46" s="253">
        <v>2</v>
      </c>
      <c r="BE46" s="253">
        <v>2</v>
      </c>
      <c r="BF46" s="253">
        <v>1</v>
      </c>
      <c r="BG46" s="253">
        <v>1</v>
      </c>
      <c r="BH46" s="247" t="s">
        <v>574</v>
      </c>
      <c r="BI46" s="253">
        <v>0</v>
      </c>
      <c r="BJ46" s="253">
        <v>0</v>
      </c>
      <c r="BK46" s="253">
        <v>0</v>
      </c>
      <c r="BL46" s="253">
        <v>30</v>
      </c>
      <c r="BM46" s="253">
        <v>1</v>
      </c>
      <c r="BN46" s="253"/>
      <c r="BO46" s="260" t="s">
        <v>489</v>
      </c>
      <c r="BP46" s="264" t="s">
        <v>566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66860.160753599994</v>
      </c>
      <c r="I47" s="164"/>
      <c r="J47" s="159"/>
      <c r="K47" s="228"/>
      <c r="L47" s="228"/>
      <c r="M47" s="228"/>
      <c r="O47" s="241" t="s">
        <v>65</v>
      </c>
      <c r="P47" s="241">
        <v>64225.417497139999</v>
      </c>
      <c r="Q47" s="239"/>
      <c r="S47" s="253"/>
      <c r="T47" s="258"/>
      <c r="U47" s="258"/>
      <c r="V47" s="258"/>
      <c r="W47" s="258"/>
      <c r="X47" s="258"/>
      <c r="Y47" s="245"/>
      <c r="Z47" s="253" t="s">
        <v>573</v>
      </c>
      <c r="AA47" s="253">
        <v>5434200</v>
      </c>
      <c r="AB47" s="253">
        <v>138</v>
      </c>
      <c r="AC47" s="253">
        <v>12</v>
      </c>
      <c r="AD47" s="253">
        <v>1794</v>
      </c>
      <c r="AE47" s="253">
        <v>1</v>
      </c>
      <c r="AF47" s="253"/>
      <c r="AG47" s="253" t="s">
        <v>573</v>
      </c>
      <c r="AH47" s="253">
        <v>0</v>
      </c>
      <c r="AI47" s="253">
        <v>0</v>
      </c>
      <c r="AJ47" s="253">
        <v>0</v>
      </c>
      <c r="AK47" s="253">
        <v>96</v>
      </c>
      <c r="AL47" s="253">
        <v>1</v>
      </c>
      <c r="AM47" s="245"/>
      <c r="AN47" s="253" t="s">
        <v>575</v>
      </c>
      <c r="AO47" s="253">
        <v>0</v>
      </c>
      <c r="AP47" s="253">
        <v>0</v>
      </c>
      <c r="AQ47" s="253">
        <v>0</v>
      </c>
      <c r="AR47" s="253">
        <v>0</v>
      </c>
      <c r="AS47" s="253">
        <v>1</v>
      </c>
      <c r="AT47" s="245"/>
      <c r="AU47" s="253" t="s">
        <v>575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572</v>
      </c>
      <c r="BC47" s="253">
        <v>0</v>
      </c>
      <c r="BD47" s="253">
        <v>0</v>
      </c>
      <c r="BE47" s="253">
        <v>0</v>
      </c>
      <c r="BF47" s="253">
        <v>0</v>
      </c>
      <c r="BG47" s="253">
        <v>1</v>
      </c>
      <c r="BH47" s="247" t="s">
        <v>575</v>
      </c>
      <c r="BI47" s="253">
        <v>0</v>
      </c>
      <c r="BJ47" s="253">
        <v>0</v>
      </c>
      <c r="BK47" s="253">
        <v>0</v>
      </c>
      <c r="BL47" s="253">
        <v>0</v>
      </c>
      <c r="BM47" s="253">
        <v>1</v>
      </c>
      <c r="BN47" s="253"/>
      <c r="BO47" s="247"/>
      <c r="BP47" s="263">
        <v>94528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67</v>
      </c>
      <c r="H48" s="223">
        <v>17126.692211279998</v>
      </c>
      <c r="I48" s="164"/>
      <c r="J48" s="159"/>
      <c r="K48" s="228"/>
      <c r="L48" s="228"/>
      <c r="M48" s="228"/>
      <c r="O48" s="241" t="s">
        <v>67</v>
      </c>
      <c r="P48" s="241">
        <v>17486.213407830001</v>
      </c>
      <c r="Q48" s="239"/>
      <c r="S48" s="253"/>
      <c r="T48" s="258"/>
      <c r="U48" s="258"/>
      <c r="V48" s="258"/>
      <c r="W48" s="258"/>
      <c r="X48" s="258"/>
      <c r="Y48" s="245"/>
      <c r="Z48" s="253" t="s">
        <v>574</v>
      </c>
      <c r="AA48" s="253">
        <v>22151375</v>
      </c>
      <c r="AB48" s="253">
        <v>223</v>
      </c>
      <c r="AC48" s="253">
        <v>9</v>
      </c>
      <c r="AD48" s="253">
        <v>1962</v>
      </c>
      <c r="AE48" s="253">
        <v>1</v>
      </c>
      <c r="AF48" s="253"/>
      <c r="AG48" s="253" t="s">
        <v>574</v>
      </c>
      <c r="AH48" s="253">
        <v>2835250</v>
      </c>
      <c r="AI48" s="253">
        <v>27</v>
      </c>
      <c r="AJ48" s="253">
        <v>2</v>
      </c>
      <c r="AK48" s="253">
        <v>185</v>
      </c>
      <c r="AL48" s="253">
        <v>1</v>
      </c>
      <c r="AM48" s="245"/>
      <c r="AN48" s="253" t="s">
        <v>576</v>
      </c>
      <c r="AO48" s="253">
        <v>2576898521.4000001</v>
      </c>
      <c r="AP48" s="253">
        <v>12005</v>
      </c>
      <c r="AQ48" s="253">
        <v>610</v>
      </c>
      <c r="AR48" s="253">
        <v>206585</v>
      </c>
      <c r="AS48" s="253">
        <v>1</v>
      </c>
      <c r="AT48" s="245"/>
      <c r="AU48" s="253" t="s">
        <v>576</v>
      </c>
      <c r="AV48" s="253">
        <v>136110179.47999999</v>
      </c>
      <c r="AW48" s="253">
        <v>647</v>
      </c>
      <c r="AX48" s="253">
        <v>20</v>
      </c>
      <c r="AY48" s="253">
        <v>7705</v>
      </c>
      <c r="AZ48" s="253">
        <v>1</v>
      </c>
      <c r="BA48" s="245"/>
      <c r="BB48" s="253" t="s">
        <v>573</v>
      </c>
      <c r="BC48" s="253">
        <v>1543313.25</v>
      </c>
      <c r="BD48" s="253">
        <v>33</v>
      </c>
      <c r="BE48" s="253">
        <v>7</v>
      </c>
      <c r="BF48" s="253">
        <v>578</v>
      </c>
      <c r="BG48" s="253">
        <v>1</v>
      </c>
      <c r="BH48" s="247" t="s">
        <v>576</v>
      </c>
      <c r="BI48" s="253">
        <v>176574496.19</v>
      </c>
      <c r="BJ48" s="253">
        <v>955</v>
      </c>
      <c r="BK48" s="253">
        <v>72</v>
      </c>
      <c r="BL48" s="253">
        <v>14822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73393.968675209995</v>
      </c>
      <c r="I49" s="164"/>
      <c r="J49" s="159"/>
      <c r="K49" s="228"/>
      <c r="L49" s="228"/>
      <c r="M49" s="228"/>
      <c r="O49" s="241" t="s">
        <v>69</v>
      </c>
      <c r="P49" s="241">
        <v>71875.082250120002</v>
      </c>
      <c r="Q49" s="239"/>
      <c r="S49" s="253"/>
      <c r="T49" s="258"/>
      <c r="U49" s="258"/>
      <c r="V49" s="258"/>
      <c r="W49" s="258"/>
      <c r="X49" s="258"/>
      <c r="Y49" s="245"/>
      <c r="Z49" s="253" t="s">
        <v>575</v>
      </c>
      <c r="AA49" s="253">
        <v>0</v>
      </c>
      <c r="AB49" s="253">
        <v>0</v>
      </c>
      <c r="AC49" s="253">
        <v>0</v>
      </c>
      <c r="AD49" s="253">
        <v>0</v>
      </c>
      <c r="AE49" s="253">
        <v>1</v>
      </c>
      <c r="AF49" s="253"/>
      <c r="AG49" s="253" t="s">
        <v>575</v>
      </c>
      <c r="AH49" s="253">
        <v>0</v>
      </c>
      <c r="AI49" s="253">
        <v>0</v>
      </c>
      <c r="AJ49" s="253">
        <v>0</v>
      </c>
      <c r="AK49" s="253">
        <v>0</v>
      </c>
      <c r="AL49" s="253">
        <v>1</v>
      </c>
      <c r="AM49" s="245"/>
      <c r="AN49" s="253" t="s">
        <v>577</v>
      </c>
      <c r="AO49" s="253">
        <v>23991062.5</v>
      </c>
      <c r="AP49" s="253">
        <v>1223</v>
      </c>
      <c r="AQ49" s="253">
        <v>47</v>
      </c>
      <c r="AR49" s="253">
        <v>51136</v>
      </c>
      <c r="AS49" s="253">
        <v>1</v>
      </c>
      <c r="AT49" s="245"/>
      <c r="AU49" s="253" t="s">
        <v>577</v>
      </c>
      <c r="AV49" s="253">
        <v>0</v>
      </c>
      <c r="AW49" s="253">
        <v>0</v>
      </c>
      <c r="AX49" s="253">
        <v>0</v>
      </c>
      <c r="AY49" s="253">
        <v>2592</v>
      </c>
      <c r="AZ49" s="253">
        <v>1</v>
      </c>
      <c r="BA49" s="245"/>
      <c r="BB49" s="253" t="s">
        <v>574</v>
      </c>
      <c r="BC49" s="253">
        <v>2853750</v>
      </c>
      <c r="BD49" s="253">
        <v>30</v>
      </c>
      <c r="BE49" s="253">
        <v>1</v>
      </c>
      <c r="BF49" s="253">
        <v>600</v>
      </c>
      <c r="BG49" s="253">
        <v>1</v>
      </c>
      <c r="BH49" s="247" t="s">
        <v>577</v>
      </c>
      <c r="BI49" s="253">
        <v>0</v>
      </c>
      <c r="BJ49" s="253">
        <v>0</v>
      </c>
      <c r="BK49" s="253">
        <v>0</v>
      </c>
      <c r="BL49" s="253">
        <v>181</v>
      </c>
      <c r="BM49" s="253">
        <v>1</v>
      </c>
      <c r="BN49" s="253"/>
      <c r="BO49" s="256" t="s">
        <v>491</v>
      </c>
      <c r="BP49" s="264" t="s">
        <v>536</v>
      </c>
      <c r="BQ49" s="264" t="s">
        <v>564</v>
      </c>
      <c r="BR49" s="264" t="s">
        <v>565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893.41392780000001</v>
      </c>
      <c r="I50" s="164"/>
      <c r="J50" s="159"/>
      <c r="K50" s="228"/>
      <c r="L50" s="228"/>
      <c r="M50" s="228"/>
      <c r="O50" s="241" t="s">
        <v>115</v>
      </c>
      <c r="P50" s="241">
        <v>903.52139069999998</v>
      </c>
      <c r="Q50" s="239"/>
      <c r="R50" s="153" t="s">
        <v>455</v>
      </c>
      <c r="S50" s="253" t="s">
        <v>562</v>
      </c>
      <c r="T50" s="258" t="s">
        <v>563</v>
      </c>
      <c r="U50" s="258" t="s">
        <v>564</v>
      </c>
      <c r="V50" s="258" t="s">
        <v>565</v>
      </c>
      <c r="W50" s="258" t="s">
        <v>566</v>
      </c>
      <c r="X50" s="258" t="s">
        <v>567</v>
      </c>
      <c r="Y50" s="245"/>
      <c r="Z50" s="253" t="s">
        <v>576</v>
      </c>
      <c r="AA50" s="253">
        <v>4990950824.1800003</v>
      </c>
      <c r="AB50" s="253">
        <v>23605</v>
      </c>
      <c r="AC50" s="253">
        <v>651</v>
      </c>
      <c r="AD50" s="253">
        <v>151346</v>
      </c>
      <c r="AE50" s="253">
        <v>1</v>
      </c>
      <c r="AF50" s="253"/>
      <c r="AG50" s="253" t="s">
        <v>576</v>
      </c>
      <c r="AH50" s="253">
        <v>73321495.040000007</v>
      </c>
      <c r="AI50" s="253">
        <v>343</v>
      </c>
      <c r="AJ50" s="253">
        <v>43</v>
      </c>
      <c r="AK50" s="253">
        <v>7852</v>
      </c>
      <c r="AL50" s="253">
        <v>1</v>
      </c>
      <c r="AM50" s="245"/>
      <c r="AN50" s="253" t="s">
        <v>578</v>
      </c>
      <c r="AO50" s="253">
        <v>4536630</v>
      </c>
      <c r="AP50" s="253">
        <v>125</v>
      </c>
      <c r="AQ50" s="253">
        <v>17</v>
      </c>
      <c r="AR50" s="253">
        <v>13071</v>
      </c>
      <c r="AS50" s="253">
        <v>1</v>
      </c>
      <c r="AT50" s="245"/>
      <c r="AU50" s="253" t="s">
        <v>578</v>
      </c>
      <c r="AV50" s="253">
        <v>743900</v>
      </c>
      <c r="AW50" s="253">
        <v>20</v>
      </c>
      <c r="AX50" s="253">
        <v>1</v>
      </c>
      <c r="AY50" s="253">
        <v>571</v>
      </c>
      <c r="AZ50" s="253">
        <v>1</v>
      </c>
      <c r="BA50" s="245"/>
      <c r="BB50" s="253" t="s">
        <v>575</v>
      </c>
      <c r="BC50" s="253">
        <v>0</v>
      </c>
      <c r="BD50" s="253">
        <v>0</v>
      </c>
      <c r="BE50" s="253">
        <v>0</v>
      </c>
      <c r="BF50" s="253">
        <v>0</v>
      </c>
      <c r="BG50" s="253">
        <v>1</v>
      </c>
      <c r="BH50" s="247" t="s">
        <v>578</v>
      </c>
      <c r="BI50" s="253">
        <v>0</v>
      </c>
      <c r="BJ50" s="253">
        <v>0</v>
      </c>
      <c r="BK50" s="253">
        <v>0</v>
      </c>
      <c r="BL50" s="253">
        <v>0</v>
      </c>
      <c r="BM50" s="253">
        <v>1</v>
      </c>
      <c r="BN50" s="253"/>
      <c r="BO50" s="247"/>
      <c r="BP50" s="263">
        <v>38555512459.199997</v>
      </c>
      <c r="BQ50" s="263">
        <v>2710037</v>
      </c>
      <c r="BR50" s="263">
        <v>3547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299.72537832</v>
      </c>
      <c r="I51" s="164"/>
      <c r="J51" s="157"/>
      <c r="K51" s="228"/>
      <c r="L51" s="228"/>
      <c r="M51" s="228"/>
      <c r="O51" s="241" t="s">
        <v>283</v>
      </c>
      <c r="P51" s="241">
        <v>307.81589358999997</v>
      </c>
      <c r="Q51" s="239"/>
      <c r="S51" s="253" t="s">
        <v>451</v>
      </c>
      <c r="T51" s="258">
        <v>0</v>
      </c>
      <c r="U51" s="258">
        <v>0</v>
      </c>
      <c r="V51" s="258">
        <v>0</v>
      </c>
      <c r="W51" s="258">
        <v>453485</v>
      </c>
      <c r="X51" s="258">
        <v>0</v>
      </c>
      <c r="Y51" s="245"/>
      <c r="Z51" s="253" t="s">
        <v>577</v>
      </c>
      <c r="AA51" s="253">
        <v>70556088.150000006</v>
      </c>
      <c r="AB51" s="253">
        <v>3684</v>
      </c>
      <c r="AC51" s="253">
        <v>134</v>
      </c>
      <c r="AD51" s="253">
        <v>39592</v>
      </c>
      <c r="AE51" s="253">
        <v>1</v>
      </c>
      <c r="AF51" s="253"/>
      <c r="AG51" s="253" t="s">
        <v>577</v>
      </c>
      <c r="AH51" s="253">
        <v>306725</v>
      </c>
      <c r="AI51" s="253">
        <v>16</v>
      </c>
      <c r="AJ51" s="253">
        <v>5</v>
      </c>
      <c r="AK51" s="253">
        <v>1944</v>
      </c>
      <c r="AL51" s="253">
        <v>1</v>
      </c>
      <c r="AM51" s="245"/>
      <c r="AN51" s="253" t="s">
        <v>579</v>
      </c>
      <c r="AO51" s="253">
        <v>808840</v>
      </c>
      <c r="AP51" s="253">
        <v>11</v>
      </c>
      <c r="AQ51" s="253">
        <v>4</v>
      </c>
      <c r="AR51" s="253">
        <v>437</v>
      </c>
      <c r="AS51" s="253">
        <v>1</v>
      </c>
      <c r="AT51" s="245"/>
      <c r="AU51" s="253" t="s">
        <v>579</v>
      </c>
      <c r="AV51" s="253">
        <v>0</v>
      </c>
      <c r="AW51" s="253">
        <v>0</v>
      </c>
      <c r="AX51" s="253">
        <v>0</v>
      </c>
      <c r="AY51" s="253">
        <v>17</v>
      </c>
      <c r="AZ51" s="253">
        <v>1</v>
      </c>
      <c r="BA51" s="245"/>
      <c r="BB51" s="253" t="s">
        <v>576</v>
      </c>
      <c r="BC51" s="253">
        <v>1933039417.3900001</v>
      </c>
      <c r="BD51" s="253">
        <v>10730</v>
      </c>
      <c r="BE51" s="253">
        <v>795</v>
      </c>
      <c r="BF51" s="253">
        <v>299161</v>
      </c>
      <c r="BG51" s="253">
        <v>1</v>
      </c>
      <c r="BH51" s="247" t="s">
        <v>579</v>
      </c>
      <c r="BI51" s="253">
        <v>0</v>
      </c>
      <c r="BJ51" s="253">
        <v>0</v>
      </c>
      <c r="BK51" s="253">
        <v>0</v>
      </c>
      <c r="BL51" s="253">
        <v>132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17.807199669999999</v>
      </c>
      <c r="I52" s="164"/>
      <c r="J52" s="157"/>
      <c r="K52" s="228"/>
      <c r="L52" s="228"/>
      <c r="M52" s="228"/>
      <c r="O52" s="241" t="s">
        <v>284</v>
      </c>
      <c r="P52" s="241">
        <v>19.192870490000001</v>
      </c>
      <c r="Q52" s="239"/>
      <c r="S52" s="253" t="s">
        <v>448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45"/>
      <c r="Z52" s="253" t="s">
        <v>578</v>
      </c>
      <c r="AA52" s="253">
        <v>20394379</v>
      </c>
      <c r="AB52" s="253">
        <v>559</v>
      </c>
      <c r="AC52" s="253">
        <v>9</v>
      </c>
      <c r="AD52" s="253">
        <v>2527</v>
      </c>
      <c r="AE52" s="253">
        <v>1</v>
      </c>
      <c r="AF52" s="253"/>
      <c r="AG52" s="253" t="s">
        <v>578</v>
      </c>
      <c r="AH52" s="253">
        <v>0</v>
      </c>
      <c r="AI52" s="253">
        <v>0</v>
      </c>
      <c r="AJ52" s="253">
        <v>0</v>
      </c>
      <c r="AK52" s="253">
        <v>30</v>
      </c>
      <c r="AL52" s="253">
        <v>1</v>
      </c>
      <c r="AM52" s="245"/>
      <c r="AN52" s="253" t="s">
        <v>580</v>
      </c>
      <c r="AO52" s="253">
        <v>0</v>
      </c>
      <c r="AP52" s="253">
        <v>0</v>
      </c>
      <c r="AQ52" s="253">
        <v>0</v>
      </c>
      <c r="AR52" s="253">
        <v>0</v>
      </c>
      <c r="AS52" s="253">
        <v>1</v>
      </c>
      <c r="AT52" s="245"/>
      <c r="AU52" s="253" t="s">
        <v>580</v>
      </c>
      <c r="AV52" s="253">
        <v>0</v>
      </c>
      <c r="AW52" s="253">
        <v>0</v>
      </c>
      <c r="AX52" s="253">
        <v>0</v>
      </c>
      <c r="AY52" s="253">
        <v>0</v>
      </c>
      <c r="AZ52" s="253">
        <v>1</v>
      </c>
      <c r="BA52" s="245"/>
      <c r="BB52" s="253" t="s">
        <v>577</v>
      </c>
      <c r="BC52" s="253">
        <v>9762537.0999999996</v>
      </c>
      <c r="BD52" s="253">
        <v>528</v>
      </c>
      <c r="BE52" s="253">
        <v>30</v>
      </c>
      <c r="BF52" s="253">
        <v>5004</v>
      </c>
      <c r="BG52" s="253">
        <v>1</v>
      </c>
      <c r="BH52" s="247" t="s">
        <v>580</v>
      </c>
      <c r="BI52" s="253">
        <v>0</v>
      </c>
      <c r="BJ52" s="253">
        <v>0</v>
      </c>
      <c r="BK52" s="253">
        <v>0</v>
      </c>
      <c r="BL52" s="253">
        <v>0</v>
      </c>
      <c r="BM52" s="253">
        <v>1</v>
      </c>
      <c r="BN52" s="253"/>
      <c r="BO52" s="259" t="s">
        <v>492</v>
      </c>
      <c r="BP52" s="264" t="s">
        <v>536</v>
      </c>
      <c r="BQ52" s="264" t="s">
        <v>564</v>
      </c>
      <c r="BR52" s="264" t="s">
        <v>565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371.94102478000002</v>
      </c>
      <c r="I53" s="164"/>
      <c r="J53" s="157"/>
      <c r="K53" s="228"/>
      <c r="L53" s="228"/>
      <c r="M53" s="228"/>
      <c r="O53" s="241" t="s">
        <v>285</v>
      </c>
      <c r="P53" s="241">
        <v>341.89613688999998</v>
      </c>
      <c r="Q53" s="239"/>
      <c r="S53" s="253" t="s">
        <v>446</v>
      </c>
      <c r="T53" s="258">
        <v>81078894</v>
      </c>
      <c r="U53" s="258">
        <v>6664</v>
      </c>
      <c r="V53" s="258">
        <v>39</v>
      </c>
      <c r="W53" s="258">
        <v>925459</v>
      </c>
      <c r="X53" s="258">
        <v>0</v>
      </c>
      <c r="Y53" s="245"/>
      <c r="Z53" s="253" t="s">
        <v>579</v>
      </c>
      <c r="AA53" s="253">
        <v>728940</v>
      </c>
      <c r="AB53" s="253">
        <v>9</v>
      </c>
      <c r="AC53" s="253">
        <v>3</v>
      </c>
      <c r="AD53" s="253">
        <v>287</v>
      </c>
      <c r="AE53" s="253">
        <v>1</v>
      </c>
      <c r="AF53" s="253"/>
      <c r="AG53" s="253" t="s">
        <v>579</v>
      </c>
      <c r="AH53" s="253">
        <v>0</v>
      </c>
      <c r="AI53" s="253">
        <v>0</v>
      </c>
      <c r="AJ53" s="253">
        <v>0</v>
      </c>
      <c r="AK53" s="253">
        <v>8</v>
      </c>
      <c r="AL53" s="253">
        <v>1</v>
      </c>
      <c r="AM53" s="245"/>
      <c r="AN53" s="253" t="s">
        <v>581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581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578</v>
      </c>
      <c r="BC53" s="253">
        <v>0</v>
      </c>
      <c r="BD53" s="253">
        <v>0</v>
      </c>
      <c r="BE53" s="253">
        <v>0</v>
      </c>
      <c r="BF53" s="253">
        <v>0</v>
      </c>
      <c r="BG53" s="253">
        <v>1</v>
      </c>
      <c r="BH53" s="247" t="s">
        <v>614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33055276351.799999</v>
      </c>
      <c r="BQ53" s="263">
        <v>2299732</v>
      </c>
      <c r="BR53" s="263">
        <v>344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256.91510268000002</v>
      </c>
      <c r="I54" s="164"/>
      <c r="J54" s="157"/>
      <c r="K54" s="228"/>
      <c r="L54" s="228"/>
      <c r="M54" s="228"/>
      <c r="O54" s="241" t="s">
        <v>286</v>
      </c>
      <c r="P54" s="241">
        <v>237.64385694000001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580</v>
      </c>
      <c r="AA54" s="253">
        <v>13472139.6</v>
      </c>
      <c r="AB54" s="253">
        <v>368</v>
      </c>
      <c r="AC54" s="253">
        <v>4</v>
      </c>
      <c r="AD54" s="253">
        <v>2760</v>
      </c>
      <c r="AE54" s="253">
        <v>1</v>
      </c>
      <c r="AF54" s="253"/>
      <c r="AG54" s="253" t="s">
        <v>580</v>
      </c>
      <c r="AH54" s="253">
        <v>0</v>
      </c>
      <c r="AI54" s="253">
        <v>0</v>
      </c>
      <c r="AJ54" s="253">
        <v>0</v>
      </c>
      <c r="AK54" s="253">
        <v>368</v>
      </c>
      <c r="AL54" s="253">
        <v>1</v>
      </c>
      <c r="AM54" s="245"/>
      <c r="AN54" s="253" t="s">
        <v>582</v>
      </c>
      <c r="AO54" s="253">
        <v>51902260.035999998</v>
      </c>
      <c r="AP54" s="253">
        <v>285</v>
      </c>
      <c r="AQ54" s="253">
        <v>9</v>
      </c>
      <c r="AR54" s="253">
        <v>15419</v>
      </c>
      <c r="AS54" s="253">
        <v>1</v>
      </c>
      <c r="AT54" s="245"/>
      <c r="AU54" s="253" t="s">
        <v>582</v>
      </c>
      <c r="AV54" s="253">
        <v>177600</v>
      </c>
      <c r="AW54" s="253">
        <v>1</v>
      </c>
      <c r="AX54" s="253">
        <v>1</v>
      </c>
      <c r="AY54" s="253">
        <v>692</v>
      </c>
      <c r="AZ54" s="253">
        <v>1</v>
      </c>
      <c r="BA54" s="245"/>
      <c r="BB54" s="253" t="s">
        <v>579</v>
      </c>
      <c r="BC54" s="253">
        <v>98211276.469999999</v>
      </c>
      <c r="BD54" s="253">
        <v>1309</v>
      </c>
      <c r="BE54" s="253">
        <v>57</v>
      </c>
      <c r="BF54" s="253">
        <v>4290</v>
      </c>
      <c r="BG54" s="253">
        <v>1</v>
      </c>
      <c r="BH54" s="247" t="s">
        <v>581</v>
      </c>
      <c r="BI54" s="253">
        <v>2490894</v>
      </c>
      <c r="BJ54" s="253">
        <v>30</v>
      </c>
      <c r="BK54" s="253">
        <v>1</v>
      </c>
      <c r="BL54" s="253">
        <v>30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205.61182314999999</v>
      </c>
      <c r="I55" s="164"/>
      <c r="J55" s="157"/>
      <c r="K55" s="228"/>
      <c r="L55" s="228"/>
      <c r="M55" s="228"/>
      <c r="O55" s="241" t="s">
        <v>287</v>
      </c>
      <c r="P55" s="241">
        <v>189.15374439999999</v>
      </c>
      <c r="Q55" s="239"/>
      <c r="S55" s="253" t="s">
        <v>447</v>
      </c>
      <c r="T55" s="258">
        <v>2835266.58</v>
      </c>
      <c r="U55" s="258">
        <v>327</v>
      </c>
      <c r="V55" s="258">
        <v>1</v>
      </c>
      <c r="W55" s="258">
        <v>1275176</v>
      </c>
      <c r="X55" s="258">
        <v>0</v>
      </c>
      <c r="Y55" s="245"/>
      <c r="Z55" s="253" t="s">
        <v>581</v>
      </c>
      <c r="AA55" s="253">
        <v>0</v>
      </c>
      <c r="AB55" s="253">
        <v>0</v>
      </c>
      <c r="AC55" s="253">
        <v>0</v>
      </c>
      <c r="AD55" s="253">
        <v>0</v>
      </c>
      <c r="AE55" s="253">
        <v>1</v>
      </c>
      <c r="AF55" s="253"/>
      <c r="AG55" s="253" t="s">
        <v>581</v>
      </c>
      <c r="AH55" s="253">
        <v>0</v>
      </c>
      <c r="AI55" s="253">
        <v>0</v>
      </c>
      <c r="AJ55" s="253">
        <v>0</v>
      </c>
      <c r="AK55" s="253">
        <v>0</v>
      </c>
      <c r="AL55" s="253">
        <v>1</v>
      </c>
      <c r="AM55" s="245"/>
      <c r="AN55" s="253" t="s">
        <v>583</v>
      </c>
      <c r="AO55" s="253">
        <v>5668680</v>
      </c>
      <c r="AP55" s="253">
        <v>43</v>
      </c>
      <c r="AQ55" s="253">
        <v>5</v>
      </c>
      <c r="AR55" s="253">
        <v>505</v>
      </c>
      <c r="AS55" s="253">
        <v>1</v>
      </c>
      <c r="AT55" s="245"/>
      <c r="AU55" s="253" t="s">
        <v>583</v>
      </c>
      <c r="AV55" s="253">
        <v>4253440</v>
      </c>
      <c r="AW55" s="253">
        <v>32</v>
      </c>
      <c r="AX55" s="253">
        <v>2</v>
      </c>
      <c r="AY55" s="253">
        <v>17</v>
      </c>
      <c r="AZ55" s="253">
        <v>1</v>
      </c>
      <c r="BA55" s="245"/>
      <c r="BB55" s="253" t="s">
        <v>580</v>
      </c>
      <c r="BC55" s="253">
        <v>22502889.300000001</v>
      </c>
      <c r="BD55" s="253">
        <v>813</v>
      </c>
      <c r="BE55" s="253">
        <v>5</v>
      </c>
      <c r="BF55" s="253">
        <v>6816</v>
      </c>
      <c r="BG55" s="253">
        <v>1</v>
      </c>
      <c r="BH55" s="247" t="s">
        <v>582</v>
      </c>
      <c r="BI55" s="253">
        <v>0</v>
      </c>
      <c r="BJ55" s="253">
        <v>0</v>
      </c>
      <c r="BK55" s="253">
        <v>0</v>
      </c>
      <c r="BL55" s="253">
        <v>34</v>
      </c>
      <c r="BM55" s="253">
        <v>1</v>
      </c>
      <c r="BN55" s="253"/>
      <c r="BO55" s="256" t="s">
        <v>493</v>
      </c>
      <c r="BP55" s="264" t="s">
        <v>617</v>
      </c>
      <c r="BQ55" s="264" t="s">
        <v>566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491.87226399999997</v>
      </c>
      <c r="I56" s="164"/>
      <c r="J56" s="157"/>
      <c r="K56" s="228"/>
      <c r="L56" s="228"/>
      <c r="M56" s="228"/>
      <c r="O56" s="241" t="s">
        <v>288</v>
      </c>
      <c r="P56" s="241">
        <v>451.62658801999999</v>
      </c>
      <c r="Q56" s="239"/>
      <c r="S56" s="253" t="s">
        <v>568</v>
      </c>
      <c r="T56" s="258">
        <v>0</v>
      </c>
      <c r="U56" s="258">
        <v>0</v>
      </c>
      <c r="V56" s="258">
        <v>0</v>
      </c>
      <c r="W56" s="258">
        <v>0</v>
      </c>
      <c r="X56" s="258">
        <v>1</v>
      </c>
      <c r="Y56" s="245"/>
      <c r="Z56" s="253" t="s">
        <v>582</v>
      </c>
      <c r="AA56" s="253">
        <v>254113539.80000001</v>
      </c>
      <c r="AB56" s="253">
        <v>1398</v>
      </c>
      <c r="AC56" s="253">
        <v>21</v>
      </c>
      <c r="AD56" s="253">
        <v>13825</v>
      </c>
      <c r="AE56" s="253">
        <v>1</v>
      </c>
      <c r="AF56" s="253"/>
      <c r="AG56" s="253" t="s">
        <v>582</v>
      </c>
      <c r="AH56" s="253">
        <v>0</v>
      </c>
      <c r="AI56" s="253">
        <v>0</v>
      </c>
      <c r="AJ56" s="253">
        <v>0</v>
      </c>
      <c r="AK56" s="253">
        <v>682</v>
      </c>
      <c r="AL56" s="253">
        <v>1</v>
      </c>
      <c r="AM56" s="245"/>
      <c r="AN56" s="253" t="s">
        <v>584</v>
      </c>
      <c r="AO56" s="253">
        <v>10046325</v>
      </c>
      <c r="AP56" s="253">
        <v>79</v>
      </c>
      <c r="AQ56" s="253">
        <v>6</v>
      </c>
      <c r="AR56" s="253">
        <v>2705</v>
      </c>
      <c r="AS56" s="253">
        <v>1</v>
      </c>
      <c r="AT56" s="245"/>
      <c r="AU56" s="253" t="s">
        <v>584</v>
      </c>
      <c r="AV56" s="253">
        <v>0</v>
      </c>
      <c r="AW56" s="253">
        <v>0</v>
      </c>
      <c r="AX56" s="253">
        <v>0</v>
      </c>
      <c r="AY56" s="253">
        <v>170</v>
      </c>
      <c r="AZ56" s="253">
        <v>1</v>
      </c>
      <c r="BA56" s="245"/>
      <c r="BB56" s="253" t="s">
        <v>614</v>
      </c>
      <c r="BC56" s="253">
        <v>0</v>
      </c>
      <c r="BD56" s="253">
        <v>0</v>
      </c>
      <c r="BE56" s="253">
        <v>0</v>
      </c>
      <c r="BF56" s="253">
        <v>0</v>
      </c>
      <c r="BG56" s="253">
        <v>1</v>
      </c>
      <c r="BH56" s="247" t="s">
        <v>583</v>
      </c>
      <c r="BI56" s="253">
        <v>1331800</v>
      </c>
      <c r="BJ56" s="253">
        <v>10</v>
      </c>
      <c r="BK56" s="253">
        <v>1</v>
      </c>
      <c r="BL56" s="253">
        <v>5</v>
      </c>
      <c r="BM56" s="253">
        <v>1</v>
      </c>
      <c r="BN56" s="253"/>
      <c r="BO56" s="247"/>
      <c r="BP56" s="263" t="s">
        <v>618</v>
      </c>
      <c r="BQ56" s="263">
        <v>6396021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7533.16498495</v>
      </c>
      <c r="I57" s="164"/>
      <c r="J57" s="157"/>
      <c r="K57" s="228"/>
      <c r="L57" s="228"/>
      <c r="M57" s="228"/>
      <c r="O57" s="241" t="s">
        <v>289</v>
      </c>
      <c r="P57" s="241">
        <v>7422.1489226599997</v>
      </c>
      <c r="Q57" s="239"/>
      <c r="S57" s="253" t="s">
        <v>451</v>
      </c>
      <c r="T57" s="258">
        <v>3203049.6</v>
      </c>
      <c r="U57" s="258">
        <v>941</v>
      </c>
      <c r="V57" s="258">
        <v>2</v>
      </c>
      <c r="W57" s="258">
        <v>137721</v>
      </c>
      <c r="X57" s="258">
        <v>1</v>
      </c>
      <c r="Y57" s="245"/>
      <c r="Z57" s="253" t="s">
        <v>583</v>
      </c>
      <c r="AA57" s="253">
        <v>6815500</v>
      </c>
      <c r="AB57" s="253">
        <v>51</v>
      </c>
      <c r="AC57" s="253">
        <v>7</v>
      </c>
      <c r="AD57" s="253">
        <v>247</v>
      </c>
      <c r="AE57" s="253">
        <v>1</v>
      </c>
      <c r="AF57" s="253"/>
      <c r="AG57" s="253" t="s">
        <v>583</v>
      </c>
      <c r="AH57" s="253">
        <v>0</v>
      </c>
      <c r="AI57" s="253">
        <v>0</v>
      </c>
      <c r="AJ57" s="253">
        <v>0</v>
      </c>
      <c r="AK57" s="253">
        <v>4</v>
      </c>
      <c r="AL57" s="253">
        <v>1</v>
      </c>
      <c r="AM57" s="245"/>
      <c r="AN57" s="253" t="s">
        <v>585</v>
      </c>
      <c r="AO57" s="253">
        <v>0</v>
      </c>
      <c r="AP57" s="253">
        <v>0</v>
      </c>
      <c r="AQ57" s="253">
        <v>0</v>
      </c>
      <c r="AR57" s="253">
        <v>0</v>
      </c>
      <c r="AS57" s="253">
        <v>1</v>
      </c>
      <c r="AT57" s="245"/>
      <c r="AU57" s="253" t="s">
        <v>585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581</v>
      </c>
      <c r="BC57" s="253">
        <v>3973494</v>
      </c>
      <c r="BD57" s="253">
        <v>50</v>
      </c>
      <c r="BE57" s="253">
        <v>8</v>
      </c>
      <c r="BF57" s="253">
        <v>150</v>
      </c>
      <c r="BG57" s="253">
        <v>1</v>
      </c>
      <c r="BH57" s="247" t="s">
        <v>584</v>
      </c>
      <c r="BI57" s="253">
        <v>221920</v>
      </c>
      <c r="BJ57" s="253">
        <v>2</v>
      </c>
      <c r="BK57" s="253">
        <v>1</v>
      </c>
      <c r="BL57" s="253">
        <v>8</v>
      </c>
      <c r="BM57" s="253">
        <v>1</v>
      </c>
      <c r="BN57" s="253"/>
      <c r="BO57" s="247"/>
      <c r="BP57" s="263" t="s">
        <v>619</v>
      </c>
      <c r="BQ57" s="263">
        <v>1673271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844.46901027000001</v>
      </c>
      <c r="I58" s="164"/>
      <c r="J58" s="157"/>
      <c r="K58" s="228"/>
      <c r="L58" s="228"/>
      <c r="M58" s="228"/>
      <c r="O58" s="241" t="s">
        <v>290</v>
      </c>
      <c r="P58" s="241">
        <v>838.42651507999994</v>
      </c>
      <c r="Q58" s="239"/>
      <c r="S58" s="245" t="s">
        <v>448</v>
      </c>
      <c r="T58" s="245">
        <v>0</v>
      </c>
      <c r="U58" s="245">
        <v>16042</v>
      </c>
      <c r="V58" s="245">
        <v>264</v>
      </c>
      <c r="W58" s="245">
        <v>767993</v>
      </c>
      <c r="X58" s="245">
        <v>1</v>
      </c>
      <c r="Y58" s="245"/>
      <c r="Z58" s="253" t="s">
        <v>584</v>
      </c>
      <c r="AA58" s="253">
        <v>21147539.899999999</v>
      </c>
      <c r="AB58" s="253">
        <v>174</v>
      </c>
      <c r="AC58" s="253">
        <v>7</v>
      </c>
      <c r="AD58" s="253">
        <v>1698</v>
      </c>
      <c r="AE58" s="253">
        <v>1</v>
      </c>
      <c r="AF58" s="253"/>
      <c r="AG58" s="253" t="s">
        <v>584</v>
      </c>
      <c r="AH58" s="253">
        <v>239000</v>
      </c>
      <c r="AI58" s="253">
        <v>2</v>
      </c>
      <c r="AJ58" s="253">
        <v>1</v>
      </c>
      <c r="AK58" s="253">
        <v>104</v>
      </c>
      <c r="AL58" s="253">
        <v>1</v>
      </c>
      <c r="AM58" s="245"/>
      <c r="AN58" s="253" t="s">
        <v>610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610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582</v>
      </c>
      <c r="BC58" s="253">
        <v>3833470</v>
      </c>
      <c r="BD58" s="253">
        <v>24</v>
      </c>
      <c r="BE58" s="253">
        <v>6</v>
      </c>
      <c r="BF58" s="253">
        <v>589</v>
      </c>
      <c r="BG58" s="253">
        <v>1</v>
      </c>
      <c r="BH58" s="247" t="s">
        <v>585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492.27280890999998</v>
      </c>
      <c r="I59" s="164"/>
      <c r="J59" s="157"/>
      <c r="K59" s="228"/>
      <c r="L59" s="228"/>
      <c r="M59" s="228"/>
      <c r="O59" s="241" t="s">
        <v>95</v>
      </c>
      <c r="P59" s="241">
        <v>522.01122669999995</v>
      </c>
      <c r="Q59" s="239"/>
      <c r="S59" s="245" t="s">
        <v>182</v>
      </c>
      <c r="T59" s="245">
        <v>4108609.898</v>
      </c>
      <c r="U59" s="245">
        <v>378722</v>
      </c>
      <c r="V59" s="245">
        <v>6</v>
      </c>
      <c r="W59" s="245">
        <v>2012411</v>
      </c>
      <c r="X59" s="245">
        <v>1</v>
      </c>
      <c r="Y59" s="245"/>
      <c r="Z59" s="253" t="s">
        <v>585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585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611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611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583</v>
      </c>
      <c r="BC59" s="253">
        <v>11316719.960000001</v>
      </c>
      <c r="BD59" s="253">
        <v>84</v>
      </c>
      <c r="BE59" s="253">
        <v>15</v>
      </c>
      <c r="BF59" s="253">
        <v>187</v>
      </c>
      <c r="BG59" s="253">
        <v>1</v>
      </c>
      <c r="BH59" s="247" t="s">
        <v>610</v>
      </c>
      <c r="BI59" s="253">
        <v>0</v>
      </c>
      <c r="BJ59" s="253">
        <v>0</v>
      </c>
      <c r="BK59" s="253">
        <v>0</v>
      </c>
      <c r="BL59" s="253">
        <v>0</v>
      </c>
      <c r="BM59" s="253">
        <v>1</v>
      </c>
      <c r="BN59" s="253"/>
      <c r="BO59" s="256" t="s">
        <v>475</v>
      </c>
      <c r="BP59" s="264" t="s">
        <v>536</v>
      </c>
      <c r="BQ59" s="264" t="s">
        <v>564</v>
      </c>
      <c r="BR59" s="264" t="s">
        <v>565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392.41914176</v>
      </c>
      <c r="I60" s="164"/>
      <c r="J60" s="157"/>
      <c r="K60" s="228"/>
      <c r="L60" s="228"/>
      <c r="M60" s="228"/>
      <c r="O60" s="241" t="s">
        <v>97</v>
      </c>
      <c r="P60" s="241">
        <v>409.79457731999997</v>
      </c>
      <c r="Q60" s="239"/>
      <c r="S60" s="254" t="s">
        <v>446</v>
      </c>
      <c r="T60" s="257">
        <v>14594757663.986401</v>
      </c>
      <c r="U60" s="257">
        <v>43839</v>
      </c>
      <c r="V60" s="257">
        <v>11447</v>
      </c>
      <c r="W60" s="257">
        <v>548165</v>
      </c>
      <c r="X60" s="257">
        <v>1</v>
      </c>
      <c r="Y60" s="245"/>
      <c r="Z60" s="253" t="s">
        <v>610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610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588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588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584</v>
      </c>
      <c r="BC60" s="253">
        <v>3599669.97</v>
      </c>
      <c r="BD60" s="253">
        <v>34</v>
      </c>
      <c r="BE60" s="253">
        <v>9</v>
      </c>
      <c r="BF60" s="253">
        <v>376</v>
      </c>
      <c r="BG60" s="253">
        <v>1</v>
      </c>
      <c r="BH60" s="247" t="s">
        <v>611</v>
      </c>
      <c r="BI60" s="253">
        <v>0</v>
      </c>
      <c r="BJ60" s="253">
        <v>0</v>
      </c>
      <c r="BK60" s="253">
        <v>0</v>
      </c>
      <c r="BL60" s="253">
        <v>0</v>
      </c>
      <c r="BM60" s="253">
        <v>1</v>
      </c>
      <c r="BN60" s="253"/>
      <c r="BO60" s="247"/>
      <c r="BP60" s="263">
        <v>63924313078.800003</v>
      </c>
      <c r="BQ60" s="263">
        <v>4513958</v>
      </c>
      <c r="BR60" s="263">
        <v>6565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73340.340464260007</v>
      </c>
      <c r="I61" s="164"/>
      <c r="J61" s="157"/>
      <c r="K61" s="228"/>
      <c r="L61" s="228"/>
      <c r="M61" s="228"/>
      <c r="O61" s="241" t="s">
        <v>293</v>
      </c>
      <c r="P61" s="241">
        <v>70843.289493010001</v>
      </c>
      <c r="Q61" s="239"/>
      <c r="R61" s="157"/>
      <c r="S61" s="253" t="s">
        <v>449</v>
      </c>
      <c r="T61" s="258">
        <v>268240.429</v>
      </c>
      <c r="U61" s="258">
        <v>576</v>
      </c>
      <c r="V61" s="258">
        <v>4</v>
      </c>
      <c r="W61" s="258">
        <v>1649592</v>
      </c>
      <c r="X61" s="258">
        <v>1</v>
      </c>
      <c r="Y61" s="245"/>
      <c r="Z61" s="253" t="s">
        <v>611</v>
      </c>
      <c r="AA61" s="253">
        <v>0</v>
      </c>
      <c r="AB61" s="253">
        <v>0</v>
      </c>
      <c r="AC61" s="253">
        <v>0</v>
      </c>
      <c r="AD61" s="253">
        <v>0</v>
      </c>
      <c r="AE61" s="253">
        <v>1</v>
      </c>
      <c r="AF61" s="253"/>
      <c r="AG61" s="253" t="s">
        <v>611</v>
      </c>
      <c r="AH61" s="253">
        <v>0</v>
      </c>
      <c r="AI61" s="253">
        <v>0</v>
      </c>
      <c r="AJ61" s="253">
        <v>0</v>
      </c>
      <c r="AK61" s="253">
        <v>0</v>
      </c>
      <c r="AL61" s="253">
        <v>1</v>
      </c>
      <c r="AM61" s="245"/>
      <c r="AN61" s="253" t="s">
        <v>589</v>
      </c>
      <c r="AO61" s="253">
        <v>0</v>
      </c>
      <c r="AP61" s="253">
        <v>0</v>
      </c>
      <c r="AQ61" s="253">
        <v>0</v>
      </c>
      <c r="AR61" s="253">
        <v>2882</v>
      </c>
      <c r="AS61" s="253">
        <v>1</v>
      </c>
      <c r="AT61" s="245"/>
      <c r="AU61" s="253" t="s">
        <v>589</v>
      </c>
      <c r="AV61" s="253">
        <v>0</v>
      </c>
      <c r="AW61" s="253">
        <v>0</v>
      </c>
      <c r="AX61" s="253">
        <v>0</v>
      </c>
      <c r="AY61" s="253">
        <v>131</v>
      </c>
      <c r="AZ61" s="253">
        <v>1</v>
      </c>
      <c r="BA61" s="245"/>
      <c r="BB61" s="253" t="s">
        <v>585</v>
      </c>
      <c r="BC61" s="253">
        <v>0</v>
      </c>
      <c r="BD61" s="253">
        <v>0</v>
      </c>
      <c r="BE61" s="253">
        <v>0</v>
      </c>
      <c r="BF61" s="253">
        <v>0</v>
      </c>
      <c r="BG61" s="253">
        <v>1</v>
      </c>
      <c r="BH61" s="247" t="s">
        <v>588</v>
      </c>
      <c r="BI61" s="253">
        <v>0</v>
      </c>
      <c r="BJ61" s="253">
        <v>0</v>
      </c>
      <c r="BK61" s="253">
        <v>0</v>
      </c>
      <c r="BL61" s="253">
        <v>0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25847.32730434</v>
      </c>
      <c r="I62" s="164"/>
      <c r="J62" s="157"/>
      <c r="K62" s="228"/>
      <c r="L62" s="228"/>
      <c r="M62" s="228"/>
      <c r="O62" s="241" t="s">
        <v>99</v>
      </c>
      <c r="P62" s="241">
        <v>23701.172845649999</v>
      </c>
      <c r="Q62" s="239"/>
      <c r="R62" s="157"/>
      <c r="S62" s="253" t="s">
        <v>450</v>
      </c>
      <c r="T62" s="258">
        <v>0</v>
      </c>
      <c r="U62" s="258">
        <v>489</v>
      </c>
      <c r="V62" s="258">
        <v>4</v>
      </c>
      <c r="W62" s="258">
        <v>1558903</v>
      </c>
      <c r="X62" s="258">
        <v>1</v>
      </c>
      <c r="Y62" s="245"/>
      <c r="Z62" s="253" t="s">
        <v>586</v>
      </c>
      <c r="AA62" s="253">
        <v>0</v>
      </c>
      <c r="AB62" s="253">
        <v>0</v>
      </c>
      <c r="AC62" s="253">
        <v>0</v>
      </c>
      <c r="AD62" s="253">
        <v>0</v>
      </c>
      <c r="AE62" s="253">
        <v>1</v>
      </c>
      <c r="AF62" s="253"/>
      <c r="AG62" s="253" t="s">
        <v>586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590</v>
      </c>
      <c r="AO62" s="253">
        <v>101926777.42</v>
      </c>
      <c r="AP62" s="253">
        <v>764</v>
      </c>
      <c r="AQ62" s="253">
        <v>16</v>
      </c>
      <c r="AR62" s="253">
        <v>3439</v>
      </c>
      <c r="AS62" s="253">
        <v>1</v>
      </c>
      <c r="AT62" s="245"/>
      <c r="AU62" s="253" t="s">
        <v>590</v>
      </c>
      <c r="AV62" s="253">
        <v>265660</v>
      </c>
      <c r="AW62" s="253">
        <v>2</v>
      </c>
      <c r="AX62" s="253">
        <v>1</v>
      </c>
      <c r="AY62" s="253">
        <v>322</v>
      </c>
      <c r="AZ62" s="253">
        <v>1</v>
      </c>
      <c r="BA62" s="245"/>
      <c r="BB62" s="253" t="s">
        <v>610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589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536</v>
      </c>
      <c r="BQ62" s="264" t="s">
        <v>564</v>
      </c>
      <c r="BR62" s="264" t="s">
        <v>565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247.52285438999999</v>
      </c>
      <c r="I63" s="164"/>
      <c r="J63" s="157"/>
      <c r="K63" s="228"/>
      <c r="L63" s="228"/>
      <c r="M63" s="228"/>
      <c r="O63" s="241" t="s">
        <v>294</v>
      </c>
      <c r="P63" s="241">
        <v>245.58460324999999</v>
      </c>
      <c r="Q63" s="239"/>
      <c r="R63" s="153" t="s">
        <v>456</v>
      </c>
      <c r="S63" s="253" t="s">
        <v>562</v>
      </c>
      <c r="T63" s="258" t="s">
        <v>563</v>
      </c>
      <c r="U63" s="258" t="s">
        <v>564</v>
      </c>
      <c r="V63" s="258" t="s">
        <v>565</v>
      </c>
      <c r="W63" s="258" t="s">
        <v>566</v>
      </c>
      <c r="X63" s="258" t="s">
        <v>567</v>
      </c>
      <c r="Y63" s="245"/>
      <c r="Z63" s="253" t="s">
        <v>587</v>
      </c>
      <c r="AA63" s="253">
        <v>5097720</v>
      </c>
      <c r="AB63" s="253">
        <v>46</v>
      </c>
      <c r="AC63" s="253">
        <v>2</v>
      </c>
      <c r="AD63" s="253">
        <v>400</v>
      </c>
      <c r="AE63" s="253">
        <v>1</v>
      </c>
      <c r="AF63" s="253"/>
      <c r="AG63" s="253" t="s">
        <v>587</v>
      </c>
      <c r="AH63" s="253">
        <v>5097720</v>
      </c>
      <c r="AI63" s="253">
        <v>46</v>
      </c>
      <c r="AJ63" s="253">
        <v>2</v>
      </c>
      <c r="AK63" s="253">
        <v>40</v>
      </c>
      <c r="AL63" s="253">
        <v>1</v>
      </c>
      <c r="AM63" s="245"/>
      <c r="AN63" s="253" t="s">
        <v>591</v>
      </c>
      <c r="AO63" s="253">
        <v>3589989.9909999999</v>
      </c>
      <c r="AP63" s="253">
        <v>32</v>
      </c>
      <c r="AQ63" s="253">
        <v>12</v>
      </c>
      <c r="AR63" s="253">
        <v>3132</v>
      </c>
      <c r="AS63" s="253">
        <v>1</v>
      </c>
      <c r="AT63" s="245"/>
      <c r="AU63" s="253" t="s">
        <v>591</v>
      </c>
      <c r="AV63" s="253">
        <v>0</v>
      </c>
      <c r="AW63" s="253">
        <v>0</v>
      </c>
      <c r="AX63" s="253">
        <v>0</v>
      </c>
      <c r="AY63" s="253">
        <v>129</v>
      </c>
      <c r="AZ63" s="253">
        <v>1</v>
      </c>
      <c r="BA63" s="245"/>
      <c r="BB63" s="253" t="s">
        <v>611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590</v>
      </c>
      <c r="BI63" s="253">
        <v>0</v>
      </c>
      <c r="BJ63" s="253">
        <v>0</v>
      </c>
      <c r="BK63" s="253">
        <v>0</v>
      </c>
      <c r="BL63" s="253">
        <v>0</v>
      </c>
      <c r="BM63" s="253">
        <v>1</v>
      </c>
      <c r="BN63" s="253"/>
      <c r="BO63" s="251"/>
      <c r="BP63" s="263">
        <v>48129883057.599998</v>
      </c>
      <c r="BQ63" s="263">
        <v>3382853</v>
      </c>
      <c r="BR63" s="263">
        <v>501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178.82793623000001</v>
      </c>
      <c r="I64" s="164"/>
      <c r="J64" s="3"/>
      <c r="K64" s="228"/>
      <c r="L64" s="228"/>
      <c r="M64" s="228"/>
      <c r="O64" s="241" t="s">
        <v>297</v>
      </c>
      <c r="P64" s="241">
        <v>182.49027265999999</v>
      </c>
      <c r="Q64" s="239"/>
      <c r="R64" s="157"/>
      <c r="S64" s="253" t="s">
        <v>568</v>
      </c>
      <c r="T64" s="258">
        <v>0</v>
      </c>
      <c r="U64" s="258">
        <v>0</v>
      </c>
      <c r="V64" s="258">
        <v>0</v>
      </c>
      <c r="W64" s="258">
        <v>0</v>
      </c>
      <c r="X64" s="258">
        <v>0</v>
      </c>
      <c r="Y64" s="245"/>
      <c r="Z64" s="253" t="s">
        <v>588</v>
      </c>
      <c r="AA64" s="253">
        <v>0</v>
      </c>
      <c r="AB64" s="253">
        <v>0</v>
      </c>
      <c r="AC64" s="253">
        <v>0</v>
      </c>
      <c r="AD64" s="253">
        <v>0</v>
      </c>
      <c r="AE64" s="253">
        <v>1</v>
      </c>
      <c r="AF64" s="253"/>
      <c r="AG64" s="253" t="s">
        <v>588</v>
      </c>
      <c r="AH64" s="253">
        <v>0</v>
      </c>
      <c r="AI64" s="253">
        <v>0</v>
      </c>
      <c r="AJ64" s="253">
        <v>0</v>
      </c>
      <c r="AK64" s="253">
        <v>0</v>
      </c>
      <c r="AL64" s="253">
        <v>1</v>
      </c>
      <c r="AM64" s="245"/>
      <c r="AN64" s="253" t="s">
        <v>592</v>
      </c>
      <c r="AO64" s="253">
        <v>55323340.810000002</v>
      </c>
      <c r="AP64" s="253">
        <v>675</v>
      </c>
      <c r="AQ64" s="253">
        <v>14</v>
      </c>
      <c r="AR64" s="253">
        <v>4599</v>
      </c>
      <c r="AS64" s="253">
        <v>1</v>
      </c>
      <c r="AT64" s="245"/>
      <c r="AU64" s="253" t="s">
        <v>592</v>
      </c>
      <c r="AV64" s="253">
        <v>164460</v>
      </c>
      <c r="AW64" s="253">
        <v>2</v>
      </c>
      <c r="AX64" s="253">
        <v>1</v>
      </c>
      <c r="AY64" s="253">
        <v>364</v>
      </c>
      <c r="AZ64" s="253">
        <v>1</v>
      </c>
      <c r="BA64" s="245"/>
      <c r="BB64" s="253" t="s">
        <v>588</v>
      </c>
      <c r="BC64" s="253">
        <v>0</v>
      </c>
      <c r="BD64" s="253">
        <v>0</v>
      </c>
      <c r="BE64" s="253">
        <v>0</v>
      </c>
      <c r="BF64" s="253">
        <v>0</v>
      </c>
      <c r="BG64" s="253">
        <v>1</v>
      </c>
      <c r="BH64" s="247" t="s">
        <v>591</v>
      </c>
      <c r="BI64" s="253">
        <v>0</v>
      </c>
      <c r="BJ64" s="253">
        <v>0</v>
      </c>
      <c r="BK64" s="253">
        <v>0</v>
      </c>
      <c r="BL64" s="253">
        <v>42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11810.517653540001</v>
      </c>
      <c r="I65" s="164"/>
      <c r="J65" s="3"/>
      <c r="K65" s="228"/>
      <c r="L65" s="228"/>
      <c r="M65" s="228"/>
      <c r="O65" s="241" t="s">
        <v>298</v>
      </c>
      <c r="P65" s="241">
        <v>11894.87849392</v>
      </c>
      <c r="Q65" s="239"/>
      <c r="R65" s="157"/>
      <c r="S65" s="253" t="s">
        <v>451</v>
      </c>
      <c r="T65" s="258">
        <v>45464391.310000002</v>
      </c>
      <c r="U65" s="258">
        <v>35765</v>
      </c>
      <c r="V65" s="258">
        <v>33</v>
      </c>
      <c r="W65" s="258">
        <v>181422</v>
      </c>
      <c r="X65" s="258">
        <v>0</v>
      </c>
      <c r="Y65" s="245"/>
      <c r="Z65" s="253" t="s">
        <v>589</v>
      </c>
      <c r="AA65" s="253">
        <v>40689519.943999998</v>
      </c>
      <c r="AB65" s="253">
        <v>220</v>
      </c>
      <c r="AC65" s="253">
        <v>2</v>
      </c>
      <c r="AD65" s="253">
        <v>2032</v>
      </c>
      <c r="AE65" s="253">
        <v>1</v>
      </c>
      <c r="AF65" s="253"/>
      <c r="AG65" s="253" t="s">
        <v>589</v>
      </c>
      <c r="AH65" s="253">
        <v>0</v>
      </c>
      <c r="AI65" s="253">
        <v>0</v>
      </c>
      <c r="AJ65" s="253">
        <v>0</v>
      </c>
      <c r="AK65" s="253">
        <v>89</v>
      </c>
      <c r="AL65" s="253">
        <v>1</v>
      </c>
      <c r="AM65" s="245"/>
      <c r="AN65" s="253" t="s">
        <v>593</v>
      </c>
      <c r="AO65" s="253">
        <v>0</v>
      </c>
      <c r="AP65" s="253">
        <v>0</v>
      </c>
      <c r="AQ65" s="253">
        <v>0</v>
      </c>
      <c r="AR65" s="253">
        <v>0</v>
      </c>
      <c r="AS65" s="253">
        <v>1</v>
      </c>
      <c r="AT65" s="245"/>
      <c r="AU65" s="253" t="s">
        <v>593</v>
      </c>
      <c r="AV65" s="253">
        <v>0</v>
      </c>
      <c r="AW65" s="253">
        <v>0</v>
      </c>
      <c r="AX65" s="253">
        <v>0</v>
      </c>
      <c r="AY65" s="253">
        <v>0</v>
      </c>
      <c r="AZ65" s="253">
        <v>1</v>
      </c>
      <c r="BA65" s="245"/>
      <c r="BB65" s="253" t="s">
        <v>589</v>
      </c>
      <c r="BC65" s="253">
        <v>12331999.971000001</v>
      </c>
      <c r="BD65" s="253">
        <v>99</v>
      </c>
      <c r="BE65" s="253">
        <v>2</v>
      </c>
      <c r="BF65" s="253">
        <v>162</v>
      </c>
      <c r="BG65" s="253">
        <v>1</v>
      </c>
      <c r="BH65" s="247" t="s">
        <v>592</v>
      </c>
      <c r="BI65" s="253">
        <v>2974100</v>
      </c>
      <c r="BJ65" s="253">
        <v>30</v>
      </c>
      <c r="BK65" s="253">
        <v>2</v>
      </c>
      <c r="BL65" s="253">
        <v>56</v>
      </c>
      <c r="BM65" s="253">
        <v>1</v>
      </c>
      <c r="BN65" s="253"/>
      <c r="BO65" s="256" t="s">
        <v>476</v>
      </c>
      <c r="BP65" s="264" t="s">
        <v>536</v>
      </c>
      <c r="BQ65" s="264" t="s">
        <v>564</v>
      </c>
      <c r="BR65" s="264" t="s">
        <v>565</v>
      </c>
    </row>
    <row r="66" spans="1:70" x14ac:dyDescent="0.2">
      <c r="A66" s="83"/>
      <c r="B66" s="190" t="s">
        <v>271</v>
      </c>
      <c r="C66" s="193">
        <v>43523</v>
      </c>
      <c r="D66" s="190">
        <v>12075.08693023</v>
      </c>
      <c r="E66" s="223">
        <v>1</v>
      </c>
      <c r="F66" s="220"/>
      <c r="G66" s="223" t="s">
        <v>299</v>
      </c>
      <c r="H66" s="223">
        <v>3401.21575674</v>
      </c>
      <c r="I66" s="164"/>
      <c r="J66" s="3"/>
      <c r="K66" s="228"/>
      <c r="L66" s="228"/>
      <c r="M66" s="228"/>
      <c r="O66" s="241" t="s">
        <v>299</v>
      </c>
      <c r="P66" s="241">
        <v>4239.7392861199996</v>
      </c>
      <c r="Q66" s="239"/>
      <c r="R66" s="157"/>
      <c r="S66" s="253" t="s">
        <v>448</v>
      </c>
      <c r="T66" s="258">
        <v>0</v>
      </c>
      <c r="U66" s="258">
        <v>0</v>
      </c>
      <c r="V66" s="258">
        <v>0</v>
      </c>
      <c r="W66" s="258">
        <v>0</v>
      </c>
      <c r="X66" s="258">
        <v>0</v>
      </c>
      <c r="Y66" s="245"/>
      <c r="Z66" s="253" t="s">
        <v>590</v>
      </c>
      <c r="AA66" s="253">
        <v>48863679.299999997</v>
      </c>
      <c r="AB66" s="253">
        <v>328</v>
      </c>
      <c r="AC66" s="253">
        <v>23</v>
      </c>
      <c r="AD66" s="253">
        <v>6725</v>
      </c>
      <c r="AE66" s="253">
        <v>1</v>
      </c>
      <c r="AF66" s="253"/>
      <c r="AG66" s="253" t="s">
        <v>590</v>
      </c>
      <c r="AH66" s="253">
        <v>1505000</v>
      </c>
      <c r="AI66" s="253">
        <v>10</v>
      </c>
      <c r="AJ66" s="253">
        <v>1</v>
      </c>
      <c r="AK66" s="253">
        <v>406</v>
      </c>
      <c r="AL66" s="253">
        <v>1</v>
      </c>
      <c r="AM66" s="245"/>
      <c r="AN66" s="253" t="s">
        <v>594</v>
      </c>
      <c r="AO66" s="253">
        <v>0</v>
      </c>
      <c r="AP66" s="253">
        <v>0</v>
      </c>
      <c r="AQ66" s="253">
        <v>0</v>
      </c>
      <c r="AR66" s="253">
        <v>0</v>
      </c>
      <c r="AS66" s="253">
        <v>1</v>
      </c>
      <c r="AT66" s="245"/>
      <c r="AU66" s="253" t="s">
        <v>594</v>
      </c>
      <c r="AV66" s="253">
        <v>0</v>
      </c>
      <c r="AW66" s="253">
        <v>0</v>
      </c>
      <c r="AX66" s="253">
        <v>0</v>
      </c>
      <c r="AY66" s="253">
        <v>0</v>
      </c>
      <c r="AZ66" s="253">
        <v>1</v>
      </c>
      <c r="BA66" s="245"/>
      <c r="BB66" s="253" t="s">
        <v>590</v>
      </c>
      <c r="BC66" s="253">
        <v>0</v>
      </c>
      <c r="BD66" s="253">
        <v>0</v>
      </c>
      <c r="BE66" s="253">
        <v>0</v>
      </c>
      <c r="BF66" s="253">
        <v>0</v>
      </c>
      <c r="BG66" s="253">
        <v>1</v>
      </c>
      <c r="BH66" s="247" t="s">
        <v>595</v>
      </c>
      <c r="BI66" s="253">
        <v>0</v>
      </c>
      <c r="BJ66" s="253">
        <v>0</v>
      </c>
      <c r="BK66" s="253">
        <v>0</v>
      </c>
      <c r="BL66" s="253">
        <v>22</v>
      </c>
      <c r="BM66" s="253">
        <v>1</v>
      </c>
      <c r="BN66" s="253"/>
      <c r="BO66" s="247"/>
      <c r="BP66" s="263">
        <v>65850683215.990402</v>
      </c>
      <c r="BQ66" s="263">
        <v>5308927</v>
      </c>
      <c r="BR66" s="263">
        <v>6970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139.24134723</v>
      </c>
      <c r="I67" s="164"/>
      <c r="J67" s="3"/>
      <c r="K67" s="228"/>
      <c r="L67" s="228"/>
      <c r="M67" s="228"/>
      <c r="O67" s="241" t="s">
        <v>300</v>
      </c>
      <c r="P67" s="241">
        <v>142.51259401999999</v>
      </c>
      <c r="Q67" s="239"/>
      <c r="R67" s="157"/>
      <c r="S67" s="253" t="s">
        <v>446</v>
      </c>
      <c r="T67" s="258">
        <v>2449472011.5500002</v>
      </c>
      <c r="U67" s="258">
        <v>324128</v>
      </c>
      <c r="V67" s="258">
        <v>547</v>
      </c>
      <c r="W67" s="258">
        <v>1099504</v>
      </c>
      <c r="X67" s="258">
        <v>0</v>
      </c>
      <c r="Y67" s="245"/>
      <c r="Z67" s="253" t="s">
        <v>591</v>
      </c>
      <c r="AA67" s="253">
        <v>45905390.031999998</v>
      </c>
      <c r="AB67" s="253">
        <v>392</v>
      </c>
      <c r="AC67" s="253">
        <v>29</v>
      </c>
      <c r="AD67" s="253">
        <v>2046</v>
      </c>
      <c r="AE67" s="253">
        <v>1</v>
      </c>
      <c r="AF67" s="253"/>
      <c r="AG67" s="253" t="s">
        <v>591</v>
      </c>
      <c r="AH67" s="253">
        <v>5761430.0080000004</v>
      </c>
      <c r="AI67" s="253">
        <v>46</v>
      </c>
      <c r="AJ67" s="253">
        <v>2</v>
      </c>
      <c r="AK67" s="253">
        <v>207</v>
      </c>
      <c r="AL67" s="253">
        <v>1</v>
      </c>
      <c r="AM67" s="245"/>
      <c r="AN67" s="253" t="s">
        <v>595</v>
      </c>
      <c r="AO67" s="253">
        <v>19849425</v>
      </c>
      <c r="AP67" s="253">
        <v>178</v>
      </c>
      <c r="AQ67" s="253">
        <v>9</v>
      </c>
      <c r="AR67" s="253">
        <v>7177</v>
      </c>
      <c r="AS67" s="253">
        <v>1</v>
      </c>
      <c r="AT67" s="245"/>
      <c r="AU67" s="253" t="s">
        <v>595</v>
      </c>
      <c r="AV67" s="253">
        <v>108725</v>
      </c>
      <c r="AW67" s="253">
        <v>1</v>
      </c>
      <c r="AX67" s="253">
        <v>1</v>
      </c>
      <c r="AY67" s="253">
        <v>338</v>
      </c>
      <c r="AZ67" s="253">
        <v>1</v>
      </c>
      <c r="BA67" s="245"/>
      <c r="BB67" s="253" t="s">
        <v>591</v>
      </c>
      <c r="BC67" s="253">
        <v>20754760.024999999</v>
      </c>
      <c r="BD67" s="253">
        <v>175</v>
      </c>
      <c r="BE67" s="253">
        <v>9</v>
      </c>
      <c r="BF67" s="253">
        <v>2253</v>
      </c>
      <c r="BG67" s="253">
        <v>1</v>
      </c>
      <c r="BH67" s="247" t="s">
        <v>596</v>
      </c>
      <c r="BI67" s="253">
        <v>0</v>
      </c>
      <c r="BJ67" s="253">
        <v>0</v>
      </c>
      <c r="BK67" s="253">
        <v>0</v>
      </c>
      <c r="BL67" s="253">
        <v>36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43347</v>
      </c>
      <c r="D68" s="190">
        <v>28871.375256529998</v>
      </c>
      <c r="E68" s="223">
        <v>1</v>
      </c>
      <c r="F68" s="213"/>
      <c r="G68" s="223" t="s">
        <v>301</v>
      </c>
      <c r="H68" s="223">
        <v>1707.7819716900001</v>
      </c>
      <c r="I68" s="164"/>
      <c r="J68" s="3"/>
      <c r="K68" s="228"/>
      <c r="L68" s="228"/>
      <c r="M68" s="228"/>
      <c r="O68" s="241" t="s">
        <v>301</v>
      </c>
      <c r="P68" s="241">
        <v>1707.85431466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592</v>
      </c>
      <c r="AA68" s="253">
        <v>26295679.940000001</v>
      </c>
      <c r="AB68" s="253">
        <v>315</v>
      </c>
      <c r="AC68" s="253">
        <v>33</v>
      </c>
      <c r="AD68" s="253">
        <v>7386</v>
      </c>
      <c r="AE68" s="253">
        <v>1</v>
      </c>
      <c r="AF68" s="253"/>
      <c r="AG68" s="253" t="s">
        <v>592</v>
      </c>
      <c r="AH68" s="253">
        <v>0</v>
      </c>
      <c r="AI68" s="253">
        <v>0</v>
      </c>
      <c r="AJ68" s="253">
        <v>0</v>
      </c>
      <c r="AK68" s="253">
        <v>367</v>
      </c>
      <c r="AL68" s="253">
        <v>1</v>
      </c>
      <c r="AM68" s="245"/>
      <c r="AN68" s="253" t="s">
        <v>596</v>
      </c>
      <c r="AO68" s="253">
        <v>158075</v>
      </c>
      <c r="AP68" s="253">
        <v>2</v>
      </c>
      <c r="AQ68" s="253">
        <v>2</v>
      </c>
      <c r="AR68" s="253">
        <v>1100</v>
      </c>
      <c r="AS68" s="253">
        <v>1</v>
      </c>
      <c r="AT68" s="245"/>
      <c r="AU68" s="253" t="s">
        <v>596</v>
      </c>
      <c r="AV68" s="253">
        <v>0</v>
      </c>
      <c r="AW68" s="253">
        <v>0</v>
      </c>
      <c r="AX68" s="253">
        <v>0</v>
      </c>
      <c r="AY68" s="253">
        <v>50</v>
      </c>
      <c r="AZ68" s="253">
        <v>1</v>
      </c>
      <c r="BA68" s="245"/>
      <c r="BB68" s="253" t="s">
        <v>592</v>
      </c>
      <c r="BC68" s="253">
        <v>9380350</v>
      </c>
      <c r="BD68" s="253">
        <v>94</v>
      </c>
      <c r="BE68" s="253">
        <v>7</v>
      </c>
      <c r="BF68" s="253">
        <v>995</v>
      </c>
      <c r="BG68" s="253">
        <v>1</v>
      </c>
      <c r="BH68" s="247" t="s">
        <v>597</v>
      </c>
      <c r="BI68" s="253">
        <v>0</v>
      </c>
      <c r="BJ68" s="253">
        <v>0</v>
      </c>
      <c r="BK68" s="253">
        <v>0</v>
      </c>
      <c r="BL68" s="253">
        <v>57</v>
      </c>
      <c r="BM68" s="253">
        <v>1</v>
      </c>
      <c r="BN68" s="253"/>
      <c r="BO68" s="256" t="s">
        <v>477</v>
      </c>
      <c r="BP68" s="264" t="s">
        <v>536</v>
      </c>
      <c r="BQ68" s="264" t="s">
        <v>564</v>
      </c>
      <c r="BR68" s="264" t="s">
        <v>565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13853.122499999999</v>
      </c>
      <c r="I69" s="164"/>
      <c r="J69" s="3"/>
      <c r="K69" s="228"/>
      <c r="L69" s="228"/>
      <c r="M69" s="228"/>
      <c r="O69" s="241" t="s">
        <v>303</v>
      </c>
      <c r="P69" s="241">
        <v>13853.122499999999</v>
      </c>
      <c r="Q69" s="239"/>
      <c r="R69" s="157"/>
      <c r="S69" s="253" t="s">
        <v>447</v>
      </c>
      <c r="T69" s="258">
        <v>400354615.87</v>
      </c>
      <c r="U69" s="258">
        <v>1786860</v>
      </c>
      <c r="V69" s="258">
        <v>506</v>
      </c>
      <c r="W69" s="258">
        <v>1766765</v>
      </c>
      <c r="X69" s="258">
        <v>0</v>
      </c>
      <c r="Y69" s="245"/>
      <c r="Z69" s="253" t="s">
        <v>593</v>
      </c>
      <c r="AA69" s="253">
        <v>0</v>
      </c>
      <c r="AB69" s="253">
        <v>0</v>
      </c>
      <c r="AC69" s="253">
        <v>0</v>
      </c>
      <c r="AD69" s="253">
        <v>0</v>
      </c>
      <c r="AE69" s="253">
        <v>1</v>
      </c>
      <c r="AF69" s="253"/>
      <c r="AG69" s="253" t="s">
        <v>593</v>
      </c>
      <c r="AH69" s="253">
        <v>0</v>
      </c>
      <c r="AI69" s="253">
        <v>0</v>
      </c>
      <c r="AJ69" s="253">
        <v>0</v>
      </c>
      <c r="AK69" s="253">
        <v>0</v>
      </c>
      <c r="AL69" s="253">
        <v>1</v>
      </c>
      <c r="AM69" s="245"/>
      <c r="AN69" s="253" t="s">
        <v>597</v>
      </c>
      <c r="AO69" s="253">
        <v>10239400</v>
      </c>
      <c r="AP69" s="253">
        <v>79</v>
      </c>
      <c r="AQ69" s="253">
        <v>10</v>
      </c>
      <c r="AR69" s="253">
        <v>759</v>
      </c>
      <c r="AS69" s="253">
        <v>1</v>
      </c>
      <c r="AT69" s="245"/>
      <c r="AU69" s="253" t="s">
        <v>597</v>
      </c>
      <c r="AV69" s="253">
        <v>3807000</v>
      </c>
      <c r="AW69" s="253">
        <v>30</v>
      </c>
      <c r="AX69" s="253">
        <v>1</v>
      </c>
      <c r="AY69" s="253">
        <v>27</v>
      </c>
      <c r="AZ69" s="253">
        <v>1</v>
      </c>
      <c r="BA69" s="245"/>
      <c r="BB69" s="253" t="s">
        <v>615</v>
      </c>
      <c r="BC69" s="253">
        <v>0</v>
      </c>
      <c r="BD69" s="253">
        <v>0</v>
      </c>
      <c r="BE69" s="253">
        <v>0</v>
      </c>
      <c r="BF69" s="253">
        <v>0</v>
      </c>
      <c r="BG69" s="253">
        <v>1</v>
      </c>
      <c r="BH69" s="247" t="s">
        <v>598</v>
      </c>
      <c r="BI69" s="253">
        <v>0</v>
      </c>
      <c r="BJ69" s="253">
        <v>0</v>
      </c>
      <c r="BK69" s="253">
        <v>0</v>
      </c>
      <c r="BL69" s="253">
        <v>48</v>
      </c>
      <c r="BM69" s="253">
        <v>1</v>
      </c>
      <c r="BN69" s="253"/>
      <c r="BO69" s="247"/>
      <c r="BP69" s="263">
        <v>73725727243.300003</v>
      </c>
      <c r="BQ69" s="263">
        <v>5623888</v>
      </c>
      <c r="BR69" s="263">
        <v>613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22552.52680815</v>
      </c>
      <c r="I70" s="164"/>
      <c r="J70" s="3"/>
      <c r="K70" s="228"/>
      <c r="L70" s="228"/>
      <c r="M70" s="228"/>
      <c r="O70" s="241" t="s">
        <v>304</v>
      </c>
      <c r="P70" s="241">
        <v>22492.346777989998</v>
      </c>
      <c r="Q70" s="239"/>
      <c r="R70" s="157"/>
      <c r="S70" s="253" t="s">
        <v>568</v>
      </c>
      <c r="T70" s="258">
        <v>0</v>
      </c>
      <c r="U70" s="258">
        <v>0</v>
      </c>
      <c r="V70" s="258">
        <v>0</v>
      </c>
      <c r="W70" s="258">
        <v>0</v>
      </c>
      <c r="X70" s="258">
        <v>1</v>
      </c>
      <c r="Y70" s="245"/>
      <c r="Z70" s="253" t="s">
        <v>594</v>
      </c>
      <c r="AA70" s="253">
        <v>0</v>
      </c>
      <c r="AB70" s="253">
        <v>0</v>
      </c>
      <c r="AC70" s="253">
        <v>0</v>
      </c>
      <c r="AD70" s="253">
        <v>0</v>
      </c>
      <c r="AE70" s="253">
        <v>1</v>
      </c>
      <c r="AF70" s="253"/>
      <c r="AG70" s="253" t="s">
        <v>594</v>
      </c>
      <c r="AH70" s="253">
        <v>0</v>
      </c>
      <c r="AI70" s="253">
        <v>0</v>
      </c>
      <c r="AJ70" s="253">
        <v>0</v>
      </c>
      <c r="AK70" s="253">
        <v>0</v>
      </c>
      <c r="AL70" s="253">
        <v>1</v>
      </c>
      <c r="AM70" s="245"/>
      <c r="AN70" s="253" t="s">
        <v>598</v>
      </c>
      <c r="AO70" s="253">
        <v>0</v>
      </c>
      <c r="AP70" s="253">
        <v>0</v>
      </c>
      <c r="AQ70" s="253">
        <v>0</v>
      </c>
      <c r="AR70" s="253">
        <v>0</v>
      </c>
      <c r="AS70" s="253">
        <v>1</v>
      </c>
      <c r="AT70" s="245"/>
      <c r="AU70" s="253" t="s">
        <v>598</v>
      </c>
      <c r="AV70" s="253">
        <v>0</v>
      </c>
      <c r="AW70" s="253">
        <v>0</v>
      </c>
      <c r="AX70" s="253">
        <v>0</v>
      </c>
      <c r="AY70" s="253">
        <v>0</v>
      </c>
      <c r="AZ70" s="253">
        <v>1</v>
      </c>
      <c r="BA70" s="245"/>
      <c r="BB70" s="253" t="s">
        <v>616</v>
      </c>
      <c r="BC70" s="253">
        <v>0</v>
      </c>
      <c r="BD70" s="253">
        <v>0</v>
      </c>
      <c r="BE70" s="253">
        <v>0</v>
      </c>
      <c r="BF70" s="253">
        <v>0</v>
      </c>
      <c r="BG70" s="253">
        <v>1</v>
      </c>
      <c r="BH70" s="247" t="s">
        <v>599</v>
      </c>
      <c r="BI70" s="253">
        <v>0</v>
      </c>
      <c r="BJ70" s="253">
        <v>0</v>
      </c>
      <c r="BK70" s="253">
        <v>0</v>
      </c>
      <c r="BL70" s="253">
        <v>34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25833.7453265</v>
      </c>
      <c r="I71" s="164"/>
      <c r="J71" s="3"/>
      <c r="K71" s="228"/>
      <c r="L71" s="228"/>
      <c r="M71" s="228"/>
      <c r="O71" s="241" t="s">
        <v>58</v>
      </c>
      <c r="P71" s="241">
        <v>25001.44699574</v>
      </c>
      <c r="Q71" s="239"/>
      <c r="R71" s="157"/>
      <c r="S71" s="253" t="s">
        <v>451</v>
      </c>
      <c r="T71" s="258">
        <v>1449356289.4200001</v>
      </c>
      <c r="U71" s="258">
        <v>103928</v>
      </c>
      <c r="V71" s="258">
        <v>85</v>
      </c>
      <c r="W71" s="258">
        <v>476657</v>
      </c>
      <c r="X71" s="258">
        <v>1</v>
      </c>
      <c r="Y71" s="245"/>
      <c r="Z71" s="253" t="s">
        <v>595</v>
      </c>
      <c r="AA71" s="253">
        <v>68967173</v>
      </c>
      <c r="AB71" s="253">
        <v>634</v>
      </c>
      <c r="AC71" s="253">
        <v>8</v>
      </c>
      <c r="AD71" s="253">
        <v>6678</v>
      </c>
      <c r="AE71" s="253">
        <v>1</v>
      </c>
      <c r="AF71" s="253"/>
      <c r="AG71" s="253" t="s">
        <v>595</v>
      </c>
      <c r="AH71" s="253">
        <v>0</v>
      </c>
      <c r="AI71" s="253">
        <v>0</v>
      </c>
      <c r="AJ71" s="253">
        <v>0</v>
      </c>
      <c r="AK71" s="253">
        <v>334</v>
      </c>
      <c r="AL71" s="253">
        <v>1</v>
      </c>
      <c r="AM71" s="245"/>
      <c r="AN71" s="253" t="s">
        <v>599</v>
      </c>
      <c r="AO71" s="253">
        <v>24275000</v>
      </c>
      <c r="AP71" s="253">
        <v>61</v>
      </c>
      <c r="AQ71" s="253">
        <v>3</v>
      </c>
      <c r="AR71" s="253">
        <v>316</v>
      </c>
      <c r="AS71" s="253">
        <v>1</v>
      </c>
      <c r="AT71" s="245"/>
      <c r="AU71" s="253" t="s">
        <v>599</v>
      </c>
      <c r="AV71" s="253">
        <v>0</v>
      </c>
      <c r="AW71" s="253">
        <v>0</v>
      </c>
      <c r="AX71" s="253">
        <v>0</v>
      </c>
      <c r="AY71" s="253">
        <v>40</v>
      </c>
      <c r="AZ71" s="253">
        <v>1</v>
      </c>
      <c r="BA71" s="245"/>
      <c r="BB71" s="253" t="s">
        <v>595</v>
      </c>
      <c r="BC71" s="253">
        <v>198625</v>
      </c>
      <c r="BD71" s="253">
        <v>2</v>
      </c>
      <c r="BE71" s="253">
        <v>2</v>
      </c>
      <c r="BF71" s="253">
        <v>457</v>
      </c>
      <c r="BG71" s="253">
        <v>1</v>
      </c>
      <c r="BH71" s="247" t="s">
        <v>600</v>
      </c>
      <c r="BI71" s="253">
        <v>329794842.23500001</v>
      </c>
      <c r="BJ71" s="253">
        <v>1419</v>
      </c>
      <c r="BK71" s="253">
        <v>98</v>
      </c>
      <c r="BL71" s="253">
        <v>13713</v>
      </c>
      <c r="BM71" s="253">
        <v>1</v>
      </c>
      <c r="BN71" s="253"/>
      <c r="BO71" s="256" t="s">
        <v>494</v>
      </c>
      <c r="BP71" s="264" t="s">
        <v>617</v>
      </c>
      <c r="BQ71" s="264" t="s">
        <v>566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28096.820250469998</v>
      </c>
      <c r="I72" s="164"/>
      <c r="J72" s="3"/>
      <c r="K72" s="228"/>
      <c r="L72" s="228"/>
      <c r="M72" s="228"/>
      <c r="O72" s="241" t="s">
        <v>51</v>
      </c>
      <c r="P72" s="241">
        <v>27178.578703169998</v>
      </c>
      <c r="Q72" s="239"/>
      <c r="R72" s="157"/>
      <c r="S72" s="253" t="s">
        <v>448</v>
      </c>
      <c r="T72" s="258">
        <v>833056</v>
      </c>
      <c r="U72" s="258">
        <v>386867</v>
      </c>
      <c r="V72" s="258">
        <v>4016</v>
      </c>
      <c r="W72" s="258">
        <v>504906</v>
      </c>
      <c r="X72" s="258">
        <v>1</v>
      </c>
      <c r="Y72" s="245"/>
      <c r="Z72" s="253" t="s">
        <v>596</v>
      </c>
      <c r="AA72" s="253">
        <v>7972370</v>
      </c>
      <c r="AB72" s="253">
        <v>100</v>
      </c>
      <c r="AC72" s="253">
        <v>10</v>
      </c>
      <c r="AD72" s="253">
        <v>1000</v>
      </c>
      <c r="AE72" s="253">
        <v>1</v>
      </c>
      <c r="AF72" s="253"/>
      <c r="AG72" s="253" t="s">
        <v>596</v>
      </c>
      <c r="AH72" s="253">
        <v>0</v>
      </c>
      <c r="AI72" s="253">
        <v>0</v>
      </c>
      <c r="AJ72" s="253">
        <v>0</v>
      </c>
      <c r="AK72" s="253">
        <v>50</v>
      </c>
      <c r="AL72" s="253">
        <v>1</v>
      </c>
      <c r="AM72" s="245"/>
      <c r="AN72" s="253" t="s">
        <v>600</v>
      </c>
      <c r="AO72" s="253">
        <v>4987694723.1549997</v>
      </c>
      <c r="AP72" s="253">
        <v>20330</v>
      </c>
      <c r="AQ72" s="253">
        <v>2064</v>
      </c>
      <c r="AR72" s="253">
        <v>288442</v>
      </c>
      <c r="AS72" s="253">
        <v>1</v>
      </c>
      <c r="AT72" s="245"/>
      <c r="AU72" s="253" t="s">
        <v>600</v>
      </c>
      <c r="AV72" s="253">
        <v>186160908.20500001</v>
      </c>
      <c r="AW72" s="253">
        <v>770</v>
      </c>
      <c r="AX72" s="253">
        <v>102</v>
      </c>
      <c r="AY72" s="253">
        <v>11789</v>
      </c>
      <c r="AZ72" s="253">
        <v>1</v>
      </c>
      <c r="BA72" s="245"/>
      <c r="BB72" s="253" t="s">
        <v>596</v>
      </c>
      <c r="BC72" s="253">
        <v>8120075</v>
      </c>
      <c r="BD72" s="253">
        <v>97</v>
      </c>
      <c r="BE72" s="253">
        <v>10</v>
      </c>
      <c r="BF72" s="253">
        <v>775</v>
      </c>
      <c r="BG72" s="253">
        <v>1</v>
      </c>
      <c r="BH72" s="247" t="s">
        <v>612</v>
      </c>
      <c r="BI72" s="253">
        <v>0</v>
      </c>
      <c r="BJ72" s="253">
        <v>0</v>
      </c>
      <c r="BK72" s="253">
        <v>0</v>
      </c>
      <c r="BL72" s="253">
        <v>0</v>
      </c>
      <c r="BM72" s="253">
        <v>1</v>
      </c>
      <c r="BN72" s="253"/>
      <c r="BO72" s="247"/>
      <c r="BP72" s="263" t="s">
        <v>618</v>
      </c>
      <c r="BQ72" s="263">
        <v>4341689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16607.64</v>
      </c>
      <c r="I73" s="164"/>
      <c r="J73" s="3"/>
      <c r="K73" s="228"/>
      <c r="L73" s="228"/>
      <c r="M73" s="228"/>
      <c r="O73" s="241" t="s">
        <v>305</v>
      </c>
      <c r="P73" s="241">
        <v>15429.58</v>
      </c>
      <c r="Q73" s="239"/>
      <c r="R73" s="157"/>
      <c r="S73" s="247" t="s">
        <v>182</v>
      </c>
      <c r="T73" s="247">
        <v>60294830.689000003</v>
      </c>
      <c r="U73" s="247">
        <v>771324</v>
      </c>
      <c r="V73" s="247">
        <v>264</v>
      </c>
      <c r="W73" s="247">
        <v>637952</v>
      </c>
      <c r="X73" s="247">
        <v>1</v>
      </c>
      <c r="Y73" s="245"/>
      <c r="Z73" s="253" t="s">
        <v>597</v>
      </c>
      <c r="AA73" s="253">
        <v>4261900</v>
      </c>
      <c r="AB73" s="253">
        <v>34</v>
      </c>
      <c r="AC73" s="253">
        <v>9</v>
      </c>
      <c r="AD73" s="253">
        <v>430</v>
      </c>
      <c r="AE73" s="253">
        <v>1</v>
      </c>
      <c r="AF73" s="253"/>
      <c r="AG73" s="253" t="s">
        <v>597</v>
      </c>
      <c r="AH73" s="253">
        <v>617950</v>
      </c>
      <c r="AI73" s="253">
        <v>5</v>
      </c>
      <c r="AJ73" s="253">
        <v>2</v>
      </c>
      <c r="AK73" s="253">
        <v>41</v>
      </c>
      <c r="AL73" s="253">
        <v>1</v>
      </c>
      <c r="AM73" s="245"/>
      <c r="AN73" s="253" t="s">
        <v>612</v>
      </c>
      <c r="AO73" s="253">
        <v>0</v>
      </c>
      <c r="AP73" s="253">
        <v>0</v>
      </c>
      <c r="AQ73" s="253">
        <v>0</v>
      </c>
      <c r="AR73" s="253">
        <v>0</v>
      </c>
      <c r="AS73" s="253">
        <v>1</v>
      </c>
      <c r="AT73" s="245"/>
      <c r="AU73" s="253" t="s">
        <v>612</v>
      </c>
      <c r="AV73" s="253">
        <v>0</v>
      </c>
      <c r="AW73" s="253">
        <v>0</v>
      </c>
      <c r="AX73" s="253">
        <v>0</v>
      </c>
      <c r="AY73" s="253">
        <v>0</v>
      </c>
      <c r="AZ73" s="253">
        <v>1</v>
      </c>
      <c r="BA73" s="245"/>
      <c r="BB73" s="253" t="s">
        <v>597</v>
      </c>
      <c r="BC73" s="253">
        <v>18474140.129999999</v>
      </c>
      <c r="BD73" s="253">
        <v>187</v>
      </c>
      <c r="BE73" s="253">
        <v>40</v>
      </c>
      <c r="BF73" s="253">
        <v>2854</v>
      </c>
      <c r="BG73" s="253">
        <v>1</v>
      </c>
      <c r="BH73" s="247" t="s">
        <v>601</v>
      </c>
      <c r="BI73" s="253">
        <v>6911259.9900000002</v>
      </c>
      <c r="BJ73" s="253">
        <v>15</v>
      </c>
      <c r="BK73" s="253">
        <v>8</v>
      </c>
      <c r="BL73" s="253">
        <v>355</v>
      </c>
      <c r="BM73" s="253">
        <v>1</v>
      </c>
      <c r="BN73" s="253"/>
      <c r="BO73" s="247"/>
      <c r="BP73" s="263" t="s">
        <v>619</v>
      </c>
      <c r="BQ73" s="263">
        <v>1684771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547</v>
      </c>
      <c r="H74" s="223">
        <v>64875.895936610003</v>
      </c>
      <c r="I74" s="164"/>
      <c r="J74" s="3"/>
      <c r="K74" s="228"/>
      <c r="L74" s="228"/>
      <c r="M74" s="228"/>
      <c r="O74" s="241" t="s">
        <v>547</v>
      </c>
      <c r="P74" s="241">
        <v>62264.599179279998</v>
      </c>
      <c r="Q74" s="239"/>
      <c r="R74" s="157"/>
      <c r="S74" s="247" t="s">
        <v>446</v>
      </c>
      <c r="T74" s="247">
        <v>381303350317.58862</v>
      </c>
      <c r="U74" s="247">
        <v>1103538</v>
      </c>
      <c r="V74" s="247">
        <v>290201</v>
      </c>
      <c r="W74" s="247">
        <v>615965</v>
      </c>
      <c r="X74" s="247">
        <v>1</v>
      </c>
      <c r="Y74" s="245"/>
      <c r="Z74" s="253" t="s">
        <v>598</v>
      </c>
      <c r="AA74" s="253">
        <v>0</v>
      </c>
      <c r="AB74" s="253">
        <v>0</v>
      </c>
      <c r="AC74" s="253">
        <v>0</v>
      </c>
      <c r="AD74" s="253">
        <v>0</v>
      </c>
      <c r="AE74" s="253">
        <v>1</v>
      </c>
      <c r="AF74" s="253"/>
      <c r="AG74" s="253" t="s">
        <v>598</v>
      </c>
      <c r="AH74" s="253">
        <v>0</v>
      </c>
      <c r="AI74" s="253">
        <v>0</v>
      </c>
      <c r="AJ74" s="253">
        <v>0</v>
      </c>
      <c r="AK74" s="253">
        <v>0</v>
      </c>
      <c r="AL74" s="253">
        <v>1</v>
      </c>
      <c r="AM74" s="245"/>
      <c r="AN74" s="253" t="s">
        <v>601</v>
      </c>
      <c r="AO74" s="253">
        <v>231776154.91999999</v>
      </c>
      <c r="AP74" s="253">
        <v>494</v>
      </c>
      <c r="AQ74" s="253">
        <v>130</v>
      </c>
      <c r="AR74" s="253">
        <v>2759</v>
      </c>
      <c r="AS74" s="253">
        <v>1</v>
      </c>
      <c r="AT74" s="245"/>
      <c r="AU74" s="253" t="s">
        <v>601</v>
      </c>
      <c r="AV74" s="253">
        <v>12829880</v>
      </c>
      <c r="AW74" s="253">
        <v>28</v>
      </c>
      <c r="AX74" s="253">
        <v>4</v>
      </c>
      <c r="AY74" s="253">
        <v>133</v>
      </c>
      <c r="AZ74" s="253">
        <v>1</v>
      </c>
      <c r="BA74" s="245"/>
      <c r="BB74" s="253" t="s">
        <v>598</v>
      </c>
      <c r="BC74" s="253">
        <v>1479200</v>
      </c>
      <c r="BD74" s="253">
        <v>4</v>
      </c>
      <c r="BE74" s="253">
        <v>1</v>
      </c>
      <c r="BF74" s="253">
        <v>988</v>
      </c>
      <c r="BG74" s="253">
        <v>1</v>
      </c>
      <c r="BH74" s="247" t="s">
        <v>602</v>
      </c>
      <c r="BI74" s="253">
        <v>1033700</v>
      </c>
      <c r="BJ74" s="253">
        <v>2</v>
      </c>
      <c r="BK74" s="253">
        <v>1</v>
      </c>
      <c r="BL74" s="253">
        <v>127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378.02473234000001</v>
      </c>
      <c r="I75" s="164"/>
      <c r="J75" s="3"/>
      <c r="K75" s="228"/>
      <c r="L75" s="228"/>
      <c r="M75" s="228"/>
      <c r="O75" s="241" t="s">
        <v>101</v>
      </c>
      <c r="P75" s="241">
        <v>363.14784065999999</v>
      </c>
      <c r="Q75" s="239"/>
      <c r="S75" s="254" t="s">
        <v>449</v>
      </c>
      <c r="T75" s="257">
        <v>530163881.35000002</v>
      </c>
      <c r="U75" s="257">
        <v>2230143</v>
      </c>
      <c r="V75" s="257">
        <v>185</v>
      </c>
      <c r="W75" s="257">
        <v>6634497</v>
      </c>
      <c r="X75" s="257">
        <v>1</v>
      </c>
      <c r="Y75" s="245"/>
      <c r="Z75" s="253" t="s">
        <v>599</v>
      </c>
      <c r="AA75" s="253">
        <v>11200000</v>
      </c>
      <c r="AB75" s="253">
        <v>28</v>
      </c>
      <c r="AC75" s="253">
        <v>1</v>
      </c>
      <c r="AD75" s="253">
        <v>148</v>
      </c>
      <c r="AE75" s="253">
        <v>1</v>
      </c>
      <c r="AF75" s="253"/>
      <c r="AG75" s="253" t="s">
        <v>599</v>
      </c>
      <c r="AH75" s="253">
        <v>0</v>
      </c>
      <c r="AI75" s="253">
        <v>0</v>
      </c>
      <c r="AJ75" s="253">
        <v>0</v>
      </c>
      <c r="AK75" s="253">
        <v>0</v>
      </c>
      <c r="AL75" s="253">
        <v>1</v>
      </c>
      <c r="AM75" s="245"/>
      <c r="AN75" s="253" t="s">
        <v>602</v>
      </c>
      <c r="AO75" s="253">
        <v>76770519.239999995</v>
      </c>
      <c r="AP75" s="253">
        <v>154</v>
      </c>
      <c r="AQ75" s="253">
        <v>20</v>
      </c>
      <c r="AR75" s="253">
        <v>1927</v>
      </c>
      <c r="AS75" s="253">
        <v>1</v>
      </c>
      <c r="AT75" s="245"/>
      <c r="AU75" s="253" t="s">
        <v>602</v>
      </c>
      <c r="AV75" s="253">
        <v>1845200</v>
      </c>
      <c r="AW75" s="253">
        <v>4</v>
      </c>
      <c r="AX75" s="253">
        <v>1</v>
      </c>
      <c r="AY75" s="253">
        <v>91</v>
      </c>
      <c r="AZ75" s="253">
        <v>1</v>
      </c>
      <c r="BA75" s="245"/>
      <c r="BB75" s="253" t="s">
        <v>599</v>
      </c>
      <c r="BC75" s="253">
        <v>11440850</v>
      </c>
      <c r="BD75" s="253">
        <v>37</v>
      </c>
      <c r="BE75" s="253">
        <v>7</v>
      </c>
      <c r="BF75" s="253">
        <v>587</v>
      </c>
      <c r="BG75" s="253">
        <v>1</v>
      </c>
      <c r="BH75" s="247" t="s">
        <v>603</v>
      </c>
      <c r="BI75" s="253">
        <v>0</v>
      </c>
      <c r="BJ75" s="253">
        <v>0</v>
      </c>
      <c r="BK75" s="253">
        <v>0</v>
      </c>
      <c r="BL75" s="253">
        <v>235</v>
      </c>
      <c r="BM75" s="253">
        <v>1</v>
      </c>
      <c r="BN75" s="253"/>
      <c r="BO75" s="256" t="s">
        <v>478</v>
      </c>
      <c r="BP75" s="264" t="s">
        <v>563</v>
      </c>
      <c r="BQ75" s="264" t="s">
        <v>564</v>
      </c>
      <c r="BR75" s="264" t="s">
        <v>565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641.39872944000001</v>
      </c>
      <c r="I76" s="164"/>
      <c r="J76" s="3"/>
      <c r="K76" s="228"/>
      <c r="L76" s="228"/>
      <c r="M76" s="228"/>
      <c r="O76" s="241" t="s">
        <v>103</v>
      </c>
      <c r="P76" s="241">
        <v>624.74561068000003</v>
      </c>
      <c r="Q76" s="239"/>
      <c r="R76" s="157"/>
      <c r="S76" s="253" t="s">
        <v>450</v>
      </c>
      <c r="T76" s="258">
        <v>0</v>
      </c>
      <c r="U76" s="258">
        <v>2097341</v>
      </c>
      <c r="V76" s="258">
        <v>164</v>
      </c>
      <c r="W76" s="258">
        <v>6513524</v>
      </c>
      <c r="X76" s="258">
        <v>1</v>
      </c>
      <c r="Y76" s="245"/>
      <c r="Z76" s="253" t="s">
        <v>600</v>
      </c>
      <c r="AA76" s="253">
        <v>6842131105.3850002</v>
      </c>
      <c r="AB76" s="253">
        <v>28488</v>
      </c>
      <c r="AC76" s="253">
        <v>1770</v>
      </c>
      <c r="AD76" s="253">
        <v>234925</v>
      </c>
      <c r="AE76" s="253">
        <v>1</v>
      </c>
      <c r="AF76" s="253"/>
      <c r="AG76" s="253" t="s">
        <v>600</v>
      </c>
      <c r="AH76" s="253">
        <v>942662349.42499995</v>
      </c>
      <c r="AI76" s="253">
        <v>3946</v>
      </c>
      <c r="AJ76" s="253">
        <v>151</v>
      </c>
      <c r="AK76" s="253">
        <v>10873</v>
      </c>
      <c r="AL76" s="253">
        <v>1</v>
      </c>
      <c r="AM76" s="245"/>
      <c r="AN76" s="253" t="s">
        <v>603</v>
      </c>
      <c r="AO76" s="253">
        <v>22093414.905000001</v>
      </c>
      <c r="AP76" s="253">
        <v>99</v>
      </c>
      <c r="AQ76" s="253">
        <v>12</v>
      </c>
      <c r="AR76" s="253">
        <v>807</v>
      </c>
      <c r="AS76" s="253">
        <v>1</v>
      </c>
      <c r="AT76" s="245"/>
      <c r="AU76" s="253" t="s">
        <v>603</v>
      </c>
      <c r="AV76" s="253">
        <v>0</v>
      </c>
      <c r="AW76" s="253">
        <v>0</v>
      </c>
      <c r="AX76" s="253">
        <v>0</v>
      </c>
      <c r="AY76" s="253">
        <v>48</v>
      </c>
      <c r="AZ76" s="253">
        <v>1</v>
      </c>
      <c r="BA76" s="245"/>
      <c r="BB76" s="253" t="s">
        <v>600</v>
      </c>
      <c r="BC76" s="253">
        <v>7191642148.4949999</v>
      </c>
      <c r="BD76" s="253">
        <v>31243</v>
      </c>
      <c r="BE76" s="253">
        <v>2225</v>
      </c>
      <c r="BF76" s="253">
        <v>295024</v>
      </c>
      <c r="BG76" s="253">
        <v>1</v>
      </c>
      <c r="BH76" s="245" t="s">
        <v>604</v>
      </c>
      <c r="BI76" s="253">
        <v>0</v>
      </c>
      <c r="BJ76" s="253">
        <v>0</v>
      </c>
      <c r="BK76" s="253">
        <v>0</v>
      </c>
      <c r="BL76" s="253">
        <v>70</v>
      </c>
      <c r="BM76" s="253">
        <v>1</v>
      </c>
      <c r="BN76" s="253"/>
      <c r="BO76" s="247"/>
      <c r="BP76" s="263">
        <v>126692549388.82797</v>
      </c>
      <c r="BQ76" s="263">
        <v>489940</v>
      </c>
      <c r="BR76" s="263">
        <v>69344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4549.2971710499996</v>
      </c>
      <c r="I77" s="164"/>
      <c r="J77" s="3"/>
      <c r="K77" s="228"/>
      <c r="L77" s="228"/>
      <c r="M77" s="228"/>
      <c r="O77" s="241" t="s">
        <v>306</v>
      </c>
      <c r="P77" s="241">
        <v>4225.47960238</v>
      </c>
      <c r="Q77" s="239"/>
      <c r="R77" s="157"/>
      <c r="S77" s="253" t="s">
        <v>447</v>
      </c>
      <c r="T77" s="258">
        <v>6259736407.4619999</v>
      </c>
      <c r="U77" s="258">
        <v>402553</v>
      </c>
      <c r="V77" s="258">
        <v>4245</v>
      </c>
      <c r="W77" s="258">
        <v>874880</v>
      </c>
      <c r="X77" s="258">
        <v>1</v>
      </c>
      <c r="Y77" s="245"/>
      <c r="Z77" s="253" t="s">
        <v>612</v>
      </c>
      <c r="AA77" s="253">
        <v>0</v>
      </c>
      <c r="AB77" s="253">
        <v>0</v>
      </c>
      <c r="AC77" s="253">
        <v>0</v>
      </c>
      <c r="AD77" s="253">
        <v>0</v>
      </c>
      <c r="AE77" s="253">
        <v>1</v>
      </c>
      <c r="AF77" s="253"/>
      <c r="AG77" s="253" t="s">
        <v>612</v>
      </c>
      <c r="AH77" s="253">
        <v>0</v>
      </c>
      <c r="AI77" s="253">
        <v>0</v>
      </c>
      <c r="AJ77" s="253">
        <v>0</v>
      </c>
      <c r="AK77" s="253">
        <v>0</v>
      </c>
      <c r="AL77" s="253">
        <v>1</v>
      </c>
      <c r="AM77" s="245"/>
      <c r="AN77" s="253" t="s">
        <v>604</v>
      </c>
      <c r="AO77" s="253">
        <v>41789140</v>
      </c>
      <c r="AP77" s="253">
        <v>901</v>
      </c>
      <c r="AQ77" s="253">
        <v>42</v>
      </c>
      <c r="AR77" s="253">
        <v>8305</v>
      </c>
      <c r="AS77" s="253">
        <v>1</v>
      </c>
      <c r="AT77" s="245"/>
      <c r="AU77" s="253" t="s">
        <v>604</v>
      </c>
      <c r="AV77" s="253">
        <v>0</v>
      </c>
      <c r="AW77" s="253">
        <v>0</v>
      </c>
      <c r="AX77" s="253">
        <v>0</v>
      </c>
      <c r="AY77" s="253">
        <v>378</v>
      </c>
      <c r="AZ77" s="253">
        <v>1</v>
      </c>
      <c r="BA77" s="245"/>
      <c r="BB77" s="253" t="s">
        <v>612</v>
      </c>
      <c r="BC77" s="253">
        <v>0</v>
      </c>
      <c r="BD77" s="253">
        <v>0</v>
      </c>
      <c r="BE77" s="253">
        <v>0</v>
      </c>
      <c r="BF77" s="253">
        <v>0</v>
      </c>
      <c r="BG77" s="253">
        <v>1</v>
      </c>
      <c r="BH77" s="245" t="s">
        <v>605</v>
      </c>
      <c r="BI77" s="253">
        <v>0</v>
      </c>
      <c r="BJ77" s="253">
        <v>0</v>
      </c>
      <c r="BK77" s="253">
        <v>0</v>
      </c>
      <c r="BL77" s="253">
        <v>30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43348</v>
      </c>
      <c r="D78" s="190">
        <v>76814.837934449999</v>
      </c>
      <c r="E78" s="223">
        <v>1</v>
      </c>
      <c r="F78" s="209"/>
      <c r="G78" s="223" t="s">
        <v>307</v>
      </c>
      <c r="H78" s="223">
        <v>195.2671192</v>
      </c>
      <c r="I78" s="164"/>
      <c r="J78" s="63"/>
      <c r="K78" s="228"/>
      <c r="L78" s="228"/>
      <c r="M78" s="228"/>
      <c r="O78" s="241" t="s">
        <v>307</v>
      </c>
      <c r="P78" s="241">
        <v>182.93918400999999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601</v>
      </c>
      <c r="AA78" s="253">
        <v>259076009.84999999</v>
      </c>
      <c r="AB78" s="253">
        <v>548</v>
      </c>
      <c r="AC78" s="253">
        <v>100</v>
      </c>
      <c r="AD78" s="253">
        <v>3261</v>
      </c>
      <c r="AE78" s="253">
        <v>1</v>
      </c>
      <c r="AF78" s="253"/>
      <c r="AG78" s="253" t="s">
        <v>601</v>
      </c>
      <c r="AH78" s="253">
        <v>15956450</v>
      </c>
      <c r="AI78" s="253">
        <v>33</v>
      </c>
      <c r="AJ78" s="253">
        <v>10</v>
      </c>
      <c r="AK78" s="253">
        <v>138</v>
      </c>
      <c r="AL78" s="253">
        <v>1</v>
      </c>
      <c r="AM78" s="245"/>
      <c r="AN78" s="253" t="s">
        <v>605</v>
      </c>
      <c r="AO78" s="253">
        <v>360528</v>
      </c>
      <c r="AP78" s="253">
        <v>25</v>
      </c>
      <c r="AQ78" s="253">
        <v>2</v>
      </c>
      <c r="AR78" s="253">
        <v>655</v>
      </c>
      <c r="AS78" s="253">
        <v>1</v>
      </c>
      <c r="AT78" s="245"/>
      <c r="AU78" s="253" t="s">
        <v>605</v>
      </c>
      <c r="AV78" s="253">
        <v>0</v>
      </c>
      <c r="AW78" s="253">
        <v>0</v>
      </c>
      <c r="AX78" s="253">
        <v>0</v>
      </c>
      <c r="AY78" s="253">
        <v>25</v>
      </c>
      <c r="AZ78" s="253">
        <v>1</v>
      </c>
      <c r="BA78" s="245"/>
      <c r="BB78" s="253" t="s">
        <v>601</v>
      </c>
      <c r="BC78" s="253">
        <v>196022659.88</v>
      </c>
      <c r="BD78" s="253">
        <v>437</v>
      </c>
      <c r="BE78" s="253">
        <v>85</v>
      </c>
      <c r="BF78" s="253">
        <v>7407</v>
      </c>
      <c r="BG78" s="253">
        <v>1</v>
      </c>
      <c r="BH78" s="245" t="s">
        <v>606</v>
      </c>
      <c r="BI78" s="253">
        <v>256517859.72999999</v>
      </c>
      <c r="BJ78" s="253">
        <v>1086</v>
      </c>
      <c r="BK78" s="253">
        <v>143</v>
      </c>
      <c r="BL78" s="253">
        <v>5877</v>
      </c>
      <c r="BM78" s="253">
        <v>1</v>
      </c>
      <c r="BN78" s="253"/>
      <c r="BO78" s="256" t="s">
        <v>497</v>
      </c>
      <c r="BP78" s="264" t="s">
        <v>563</v>
      </c>
      <c r="BQ78" s="264" t="s">
        <v>564</v>
      </c>
      <c r="BR78" s="264" t="s">
        <v>565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6931.4465823</v>
      </c>
      <c r="I79" s="164"/>
      <c r="J79" s="63"/>
      <c r="K79" s="228"/>
      <c r="L79" s="228"/>
      <c r="M79" s="228"/>
      <c r="O79" s="241" t="s">
        <v>308</v>
      </c>
      <c r="P79" s="241">
        <v>7277.5538530499998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602</v>
      </c>
      <c r="AA79" s="253">
        <v>40208559.780000001</v>
      </c>
      <c r="AB79" s="253">
        <v>85</v>
      </c>
      <c r="AC79" s="253">
        <v>12</v>
      </c>
      <c r="AD79" s="253">
        <v>1978</v>
      </c>
      <c r="AE79" s="253">
        <v>1</v>
      </c>
      <c r="AF79" s="253"/>
      <c r="AG79" s="253" t="s">
        <v>602</v>
      </c>
      <c r="AH79" s="253">
        <v>0</v>
      </c>
      <c r="AI79" s="253">
        <v>0</v>
      </c>
      <c r="AJ79" s="253">
        <v>0</v>
      </c>
      <c r="AK79" s="253">
        <v>101</v>
      </c>
      <c r="AL79" s="253">
        <v>1</v>
      </c>
      <c r="AM79" s="245"/>
      <c r="AN79" s="253" t="s">
        <v>606</v>
      </c>
      <c r="AO79" s="253">
        <v>2856569948.1999998</v>
      </c>
      <c r="AP79" s="253">
        <v>10328</v>
      </c>
      <c r="AQ79" s="253">
        <v>1892</v>
      </c>
      <c r="AR79" s="253">
        <v>91245</v>
      </c>
      <c r="AS79" s="253">
        <v>1</v>
      </c>
      <c r="AT79" s="245"/>
      <c r="AU79" s="253" t="s">
        <v>606</v>
      </c>
      <c r="AV79" s="253">
        <v>105855417.44499999</v>
      </c>
      <c r="AW79" s="253">
        <v>381</v>
      </c>
      <c r="AX79" s="253">
        <v>31</v>
      </c>
      <c r="AY79" s="253">
        <v>3911</v>
      </c>
      <c r="AZ79" s="253">
        <v>1</v>
      </c>
      <c r="BA79" s="245"/>
      <c r="BB79" s="253" t="s">
        <v>602</v>
      </c>
      <c r="BC79" s="253">
        <v>162114600.06999999</v>
      </c>
      <c r="BD79" s="253">
        <v>340</v>
      </c>
      <c r="BE79" s="253">
        <v>25</v>
      </c>
      <c r="BF79" s="253">
        <v>1179</v>
      </c>
      <c r="BG79" s="253">
        <v>1</v>
      </c>
      <c r="BH79" s="245" t="s">
        <v>607</v>
      </c>
      <c r="BI79" s="253">
        <v>1888775465.9400001</v>
      </c>
      <c r="BJ79" s="253">
        <v>10090</v>
      </c>
      <c r="BK79" s="253">
        <v>763</v>
      </c>
      <c r="BL79" s="253">
        <v>31132</v>
      </c>
      <c r="BM79" s="253">
        <v>1</v>
      </c>
      <c r="BN79" s="253"/>
      <c r="BO79" s="251"/>
      <c r="BP79" s="263">
        <v>2120095919.7899899</v>
      </c>
      <c r="BQ79" s="263">
        <v>83761</v>
      </c>
      <c r="BR79" s="263">
        <v>9105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14.13734745</v>
      </c>
      <c r="I80" s="164"/>
      <c r="J80" s="3"/>
      <c r="K80" s="228"/>
      <c r="L80" s="228"/>
      <c r="M80" s="228"/>
      <c r="O80" s="241" t="s">
        <v>309</v>
      </c>
      <c r="P80" s="241">
        <v>11.39223144</v>
      </c>
      <c r="Q80" s="239"/>
      <c r="R80" s="153" t="s">
        <v>457</v>
      </c>
      <c r="S80" s="253" t="s">
        <v>562</v>
      </c>
      <c r="T80" s="258" t="s">
        <v>563</v>
      </c>
      <c r="U80" s="258" t="s">
        <v>564</v>
      </c>
      <c r="V80" s="258" t="s">
        <v>565</v>
      </c>
      <c r="W80" s="258" t="s">
        <v>566</v>
      </c>
      <c r="X80" s="258" t="s">
        <v>567</v>
      </c>
      <c r="Y80" s="245"/>
      <c r="Z80" s="245" t="s">
        <v>603</v>
      </c>
      <c r="AA80" s="245">
        <v>11208755.01</v>
      </c>
      <c r="AB80" s="245">
        <v>48</v>
      </c>
      <c r="AC80" s="245">
        <v>9</v>
      </c>
      <c r="AD80" s="245">
        <v>937</v>
      </c>
      <c r="AE80" s="245">
        <v>1</v>
      </c>
      <c r="AF80" s="245"/>
      <c r="AG80" s="245" t="s">
        <v>603</v>
      </c>
      <c r="AH80" s="245">
        <v>0</v>
      </c>
      <c r="AI80" s="245">
        <v>0</v>
      </c>
      <c r="AJ80" s="245">
        <v>0</v>
      </c>
      <c r="AK80" s="245">
        <v>18</v>
      </c>
      <c r="AL80" s="245">
        <v>1</v>
      </c>
      <c r="AM80" s="245"/>
      <c r="AN80" s="245" t="s">
        <v>607</v>
      </c>
      <c r="AO80" s="245">
        <v>26718359010.82999</v>
      </c>
      <c r="AP80" s="245">
        <v>87376</v>
      </c>
      <c r="AQ80" s="245">
        <v>17556</v>
      </c>
      <c r="AR80" s="245">
        <v>627217</v>
      </c>
      <c r="AS80" s="245">
        <v>1</v>
      </c>
      <c r="AT80" s="245"/>
      <c r="AU80" s="245" t="s">
        <v>607</v>
      </c>
      <c r="AV80" s="245">
        <v>1461257497.6600001</v>
      </c>
      <c r="AW80" s="245">
        <v>5076</v>
      </c>
      <c r="AX80" s="245">
        <v>828</v>
      </c>
      <c r="AY80" s="245">
        <v>27242</v>
      </c>
      <c r="AZ80" s="245">
        <v>1</v>
      </c>
      <c r="BA80" s="245"/>
      <c r="BB80" s="245" t="s">
        <v>603</v>
      </c>
      <c r="BC80" s="245">
        <v>42042350.2575</v>
      </c>
      <c r="BD80" s="245">
        <v>198</v>
      </c>
      <c r="BE80" s="245">
        <v>5</v>
      </c>
      <c r="BF80" s="245">
        <v>1814</v>
      </c>
      <c r="BG80" s="245">
        <v>1</v>
      </c>
      <c r="BH80" s="245" t="s">
        <v>608</v>
      </c>
      <c r="BI80" s="245">
        <v>1273262642.1800001</v>
      </c>
      <c r="BJ80" s="245">
        <v>6534</v>
      </c>
      <c r="BK80" s="245">
        <v>434</v>
      </c>
      <c r="BL80" s="245">
        <v>18140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1068.77638069</v>
      </c>
      <c r="I81" s="164"/>
      <c r="J81" s="3"/>
      <c r="K81" s="228"/>
      <c r="L81" s="228"/>
      <c r="M81" s="228"/>
      <c r="O81" s="241" t="s">
        <v>311</v>
      </c>
      <c r="P81" s="241">
        <v>906.97676039999999</v>
      </c>
      <c r="Q81" s="239"/>
      <c r="R81" s="157"/>
      <c r="S81" s="253" t="s">
        <v>568</v>
      </c>
      <c r="T81" s="258">
        <v>0</v>
      </c>
      <c r="U81" s="258">
        <v>0</v>
      </c>
      <c r="V81" s="258">
        <v>0</v>
      </c>
      <c r="W81" s="258">
        <v>0</v>
      </c>
      <c r="X81" s="258">
        <v>0</v>
      </c>
      <c r="Y81" s="245"/>
      <c r="Z81" s="245" t="s">
        <v>604</v>
      </c>
      <c r="AA81" s="245">
        <v>38547392.5</v>
      </c>
      <c r="AB81" s="245">
        <v>831</v>
      </c>
      <c r="AC81" s="245">
        <v>37</v>
      </c>
      <c r="AD81" s="245">
        <v>4871</v>
      </c>
      <c r="AE81" s="245">
        <v>1</v>
      </c>
      <c r="AF81" s="245"/>
      <c r="AG81" s="245" t="s">
        <v>604</v>
      </c>
      <c r="AH81" s="245">
        <v>0</v>
      </c>
      <c r="AI81" s="245">
        <v>0</v>
      </c>
      <c r="AJ81" s="245">
        <v>0</v>
      </c>
      <c r="AK81" s="245">
        <v>293</v>
      </c>
      <c r="AL81" s="245">
        <v>1</v>
      </c>
      <c r="AM81" s="245"/>
      <c r="AN81" s="245" t="s">
        <v>608</v>
      </c>
      <c r="AO81" s="245">
        <v>12388317848.65999</v>
      </c>
      <c r="AP81" s="245">
        <v>44834</v>
      </c>
      <c r="AQ81" s="245">
        <v>7790</v>
      </c>
      <c r="AR81" s="245">
        <v>560627</v>
      </c>
      <c r="AS81" s="245">
        <v>1</v>
      </c>
      <c r="AT81" s="245"/>
      <c r="AU81" s="245" t="s">
        <v>608</v>
      </c>
      <c r="AV81" s="245">
        <v>628664006.84000003</v>
      </c>
      <c r="AW81" s="245">
        <v>2352</v>
      </c>
      <c r="AX81" s="245">
        <v>558</v>
      </c>
      <c r="AY81" s="245">
        <v>22895</v>
      </c>
      <c r="AZ81" s="245">
        <v>1</v>
      </c>
      <c r="BA81" s="245"/>
      <c r="BB81" s="245" t="s">
        <v>604</v>
      </c>
      <c r="BC81" s="245">
        <v>3669250</v>
      </c>
      <c r="BD81" s="245">
        <v>70</v>
      </c>
      <c r="BE81" s="245">
        <v>4</v>
      </c>
      <c r="BF81" s="245">
        <v>510</v>
      </c>
      <c r="BG81" s="245">
        <v>1</v>
      </c>
      <c r="BH81" s="245"/>
      <c r="BI81" s="245"/>
      <c r="BJ81" s="245"/>
      <c r="BK81" s="245"/>
      <c r="BL81" s="245"/>
      <c r="BM81" s="245"/>
      <c r="BN81" s="245"/>
      <c r="BO81" s="256" t="s">
        <v>479</v>
      </c>
      <c r="BP81" s="264" t="s">
        <v>563</v>
      </c>
      <c r="BQ81" s="264" t="s">
        <v>564</v>
      </c>
      <c r="BR81" s="264" t="s">
        <v>565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6540.0328713899999</v>
      </c>
      <c r="I82" s="164"/>
      <c r="J82" s="157"/>
      <c r="K82" s="228"/>
      <c r="L82" s="228"/>
      <c r="M82" s="228"/>
      <c r="O82" s="241" t="s">
        <v>312</v>
      </c>
      <c r="P82" s="241">
        <v>5953.2559239800003</v>
      </c>
      <c r="Q82" s="239"/>
      <c r="R82" s="157"/>
      <c r="S82" s="253" t="s">
        <v>451</v>
      </c>
      <c r="T82" s="258">
        <v>7405564.3200000003</v>
      </c>
      <c r="U82" s="258">
        <v>2706</v>
      </c>
      <c r="V82" s="258">
        <v>2</v>
      </c>
      <c r="W82" s="258">
        <v>181422</v>
      </c>
      <c r="X82" s="258">
        <v>0</v>
      </c>
      <c r="Y82" s="245"/>
      <c r="Z82" s="245" t="s">
        <v>605</v>
      </c>
      <c r="AA82" s="245">
        <v>0</v>
      </c>
      <c r="AB82" s="245">
        <v>0</v>
      </c>
      <c r="AC82" s="245">
        <v>0</v>
      </c>
      <c r="AD82" s="245">
        <v>500</v>
      </c>
      <c r="AE82" s="245">
        <v>1</v>
      </c>
      <c r="AF82" s="245"/>
      <c r="AG82" s="245" t="s">
        <v>605</v>
      </c>
      <c r="AH82" s="245">
        <v>0</v>
      </c>
      <c r="AI82" s="245">
        <v>0</v>
      </c>
      <c r="AJ82" s="245">
        <v>0</v>
      </c>
      <c r="AK82" s="245">
        <v>25</v>
      </c>
      <c r="AL82" s="245">
        <v>1</v>
      </c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605</v>
      </c>
      <c r="BC82" s="245">
        <v>460376</v>
      </c>
      <c r="BD82" s="245">
        <v>30</v>
      </c>
      <c r="BE82" s="245">
        <v>2</v>
      </c>
      <c r="BF82" s="245">
        <v>370</v>
      </c>
      <c r="BG82" s="245">
        <v>1</v>
      </c>
      <c r="BH82" s="245"/>
      <c r="BI82" s="245"/>
      <c r="BJ82" s="245"/>
      <c r="BK82" s="245"/>
      <c r="BL82" s="245"/>
      <c r="BM82" s="245"/>
      <c r="BN82" s="245"/>
      <c r="BO82" s="247"/>
      <c r="BP82" s="263">
        <v>95102829114.558487</v>
      </c>
      <c r="BQ82" s="263">
        <v>478958</v>
      </c>
      <c r="BR82" s="263">
        <v>69062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1360.6500735300001</v>
      </c>
      <c r="I83" s="164"/>
      <c r="J83" s="157"/>
      <c r="K83" s="228"/>
      <c r="L83" s="228"/>
      <c r="M83" s="228"/>
      <c r="O83" s="241" t="s">
        <v>313</v>
      </c>
      <c r="P83" s="241">
        <v>1281.21261985</v>
      </c>
      <c r="Q83" s="239"/>
      <c r="R83" s="157"/>
      <c r="S83" s="253" t="s">
        <v>448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606</v>
      </c>
      <c r="AA83" s="245">
        <v>3282300042.5250001</v>
      </c>
      <c r="AB83" s="245">
        <v>12474</v>
      </c>
      <c r="AC83" s="245">
        <v>2240</v>
      </c>
      <c r="AD83" s="245">
        <v>71589</v>
      </c>
      <c r="AE83" s="245">
        <v>1</v>
      </c>
      <c r="AF83" s="245"/>
      <c r="AG83" s="245" t="s">
        <v>606</v>
      </c>
      <c r="AH83" s="245">
        <v>431203089.80000001</v>
      </c>
      <c r="AI83" s="245">
        <v>1625</v>
      </c>
      <c r="AJ83" s="245">
        <v>77</v>
      </c>
      <c r="AK83" s="245">
        <v>2564</v>
      </c>
      <c r="AL83" s="245">
        <v>1</v>
      </c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 t="s">
        <v>606</v>
      </c>
      <c r="BC83" s="245">
        <v>3686259687.7550001</v>
      </c>
      <c r="BD83" s="245">
        <v>15774</v>
      </c>
      <c r="BE83" s="245">
        <v>2014</v>
      </c>
      <c r="BF83" s="245">
        <v>137034</v>
      </c>
      <c r="BG83" s="245">
        <v>1</v>
      </c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10649.98975927</v>
      </c>
      <c r="I84" s="164"/>
      <c r="J84" s="157"/>
      <c r="K84" s="228"/>
      <c r="L84" s="228"/>
      <c r="M84" s="228"/>
      <c r="O84" s="241" t="s">
        <v>60</v>
      </c>
      <c r="P84" s="241">
        <v>10513.00423239</v>
      </c>
      <c r="Q84" s="239"/>
      <c r="R84" s="157"/>
      <c r="S84" s="253" t="s">
        <v>446</v>
      </c>
      <c r="T84" s="258">
        <v>102243722</v>
      </c>
      <c r="U84" s="258">
        <v>28784</v>
      </c>
      <c r="V84" s="258">
        <v>28</v>
      </c>
      <c r="W84" s="258">
        <v>1099504</v>
      </c>
      <c r="X84" s="258">
        <v>0</v>
      </c>
      <c r="Y84" s="245"/>
      <c r="Z84" s="245" t="s">
        <v>607</v>
      </c>
      <c r="AA84" s="245">
        <v>28796558571.279999</v>
      </c>
      <c r="AB84" s="245">
        <v>102710</v>
      </c>
      <c r="AC84" s="245">
        <v>16952</v>
      </c>
      <c r="AD84" s="245">
        <v>499415</v>
      </c>
      <c r="AE84" s="245">
        <v>1</v>
      </c>
      <c r="AF84" s="245"/>
      <c r="AG84" s="245" t="s">
        <v>607</v>
      </c>
      <c r="AH84" s="245">
        <v>2872127839.1799998</v>
      </c>
      <c r="AI84" s="245">
        <v>10480</v>
      </c>
      <c r="AJ84" s="245">
        <v>818</v>
      </c>
      <c r="AK84" s="245">
        <v>22331</v>
      </c>
      <c r="AL84" s="245">
        <v>1</v>
      </c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 t="s">
        <v>607</v>
      </c>
      <c r="BC84" s="245">
        <v>17141510072.85</v>
      </c>
      <c r="BD84" s="245">
        <v>91702</v>
      </c>
      <c r="BE84" s="245">
        <v>13450</v>
      </c>
      <c r="BF84" s="245">
        <v>709736</v>
      </c>
      <c r="BG84" s="245">
        <v>1</v>
      </c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563</v>
      </c>
      <c r="BQ84" s="264" t="s">
        <v>564</v>
      </c>
      <c r="BR84" s="264" t="s">
        <v>565</v>
      </c>
    </row>
    <row r="85" spans="1:70" x14ac:dyDescent="0.2">
      <c r="A85" s="149"/>
      <c r="B85" s="190" t="s">
        <v>554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11905.330714920001</v>
      </c>
      <c r="I85" s="164"/>
      <c r="J85" s="157"/>
      <c r="K85" s="228"/>
      <c r="L85" s="228"/>
      <c r="M85" s="228"/>
      <c r="O85" s="241" t="s">
        <v>53</v>
      </c>
      <c r="P85" s="241">
        <v>11722.37298301</v>
      </c>
      <c r="Q85" s="239"/>
      <c r="R85" s="157"/>
      <c r="S85" s="253" t="s">
        <v>449</v>
      </c>
      <c r="T85" s="258">
        <v>0</v>
      </c>
      <c r="U85" s="258">
        <v>0</v>
      </c>
      <c r="V85" s="258">
        <v>0</v>
      </c>
      <c r="W85" s="258">
        <v>0</v>
      </c>
      <c r="X85" s="258">
        <v>0</v>
      </c>
      <c r="Y85" s="245"/>
      <c r="Z85" s="245" t="s">
        <v>608</v>
      </c>
      <c r="AA85" s="245">
        <v>14643420911.030001</v>
      </c>
      <c r="AB85" s="245">
        <v>55821</v>
      </c>
      <c r="AC85" s="245">
        <v>9228</v>
      </c>
      <c r="AD85" s="245">
        <v>436967</v>
      </c>
      <c r="AE85" s="245">
        <v>1</v>
      </c>
      <c r="AF85" s="245"/>
      <c r="AG85" s="245" t="s">
        <v>608</v>
      </c>
      <c r="AH85" s="245">
        <v>1905932045.8</v>
      </c>
      <c r="AI85" s="245">
        <v>7429</v>
      </c>
      <c r="AJ85" s="245">
        <v>485</v>
      </c>
      <c r="AK85" s="245">
        <v>19106</v>
      </c>
      <c r="AL85" s="245">
        <v>1</v>
      </c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 t="s">
        <v>608</v>
      </c>
      <c r="BC85" s="245">
        <v>10725559062.450001</v>
      </c>
      <c r="BD85" s="245">
        <v>55504</v>
      </c>
      <c r="BE85" s="245">
        <v>6855</v>
      </c>
      <c r="BF85" s="245">
        <v>410832</v>
      </c>
      <c r="BG85" s="245">
        <v>1</v>
      </c>
      <c r="BH85" s="245"/>
      <c r="BI85" s="245"/>
      <c r="BJ85" s="245"/>
      <c r="BK85" s="245"/>
      <c r="BL85" s="245"/>
      <c r="BM85" s="245"/>
      <c r="BN85" s="245"/>
      <c r="BO85" s="247"/>
      <c r="BP85" s="263">
        <v>444445399.21999002</v>
      </c>
      <c r="BQ85" s="263">
        <v>58590</v>
      </c>
      <c r="BR85" s="263">
        <v>6347</v>
      </c>
    </row>
    <row r="86" spans="1:70" x14ac:dyDescent="0.2">
      <c r="A86" s="149"/>
      <c r="B86" s="190" t="s">
        <v>555</v>
      </c>
      <c r="C86" s="193">
        <v>42118</v>
      </c>
      <c r="D86" s="190">
        <v>1225.1600000000001</v>
      </c>
      <c r="E86" s="223">
        <v>1</v>
      </c>
      <c r="F86" s="213"/>
      <c r="G86" s="223" t="s">
        <v>548</v>
      </c>
      <c r="H86" s="223">
        <v>16621.230283829998</v>
      </c>
      <c r="I86" s="164"/>
      <c r="J86" s="157"/>
      <c r="K86" s="228"/>
      <c r="L86" s="228"/>
      <c r="M86" s="228"/>
      <c r="O86" s="241" t="s">
        <v>548</v>
      </c>
      <c r="P86" s="241">
        <v>16502.332274079999</v>
      </c>
      <c r="Q86" s="239"/>
      <c r="R86" s="157"/>
      <c r="S86" s="253" t="s">
        <v>447</v>
      </c>
      <c r="T86" s="258">
        <v>15916614.699999999</v>
      </c>
      <c r="U86" s="258">
        <v>15383</v>
      </c>
      <c r="V86" s="258">
        <v>29</v>
      </c>
      <c r="W86" s="258">
        <v>1766765</v>
      </c>
      <c r="X86" s="258">
        <v>0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556</v>
      </c>
      <c r="C87" s="193">
        <v>42143</v>
      </c>
      <c r="D87" s="190">
        <v>1310.1099999999999</v>
      </c>
      <c r="E87" s="223">
        <v>1</v>
      </c>
      <c r="F87" s="213"/>
      <c r="G87" s="223" t="s">
        <v>549</v>
      </c>
      <c r="H87" s="223">
        <v>17539.489999969999</v>
      </c>
      <c r="I87" s="164"/>
      <c r="J87" s="157"/>
      <c r="K87" s="228"/>
      <c r="L87" s="228"/>
      <c r="M87" s="228"/>
      <c r="O87" s="241" t="s">
        <v>549</v>
      </c>
      <c r="P87" s="241">
        <v>17327.013298670001</v>
      </c>
      <c r="Q87" s="239"/>
      <c r="R87" s="157"/>
      <c r="S87" s="253" t="s">
        <v>568</v>
      </c>
      <c r="T87" s="258">
        <v>0</v>
      </c>
      <c r="U87" s="258">
        <v>0</v>
      </c>
      <c r="V87" s="258">
        <v>0</v>
      </c>
      <c r="W87" s="258">
        <v>0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566</v>
      </c>
      <c r="BQ87" s="245"/>
      <c r="BR87" s="245"/>
    </row>
    <row r="88" spans="1:70" x14ac:dyDescent="0.2">
      <c r="A88" s="151"/>
      <c r="B88" s="190" t="s">
        <v>557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6474.8156660200002</v>
      </c>
      <c r="I88" s="164"/>
      <c r="J88" s="157"/>
      <c r="K88" s="228"/>
      <c r="L88" s="228"/>
      <c r="M88" s="228"/>
      <c r="O88" s="241" t="s">
        <v>314</v>
      </c>
      <c r="P88" s="241">
        <v>6331.9287732900002</v>
      </c>
      <c r="Q88" s="239"/>
      <c r="R88" s="157"/>
      <c r="S88" s="247" t="s">
        <v>451</v>
      </c>
      <c r="T88" s="247">
        <v>21585851.399999999</v>
      </c>
      <c r="U88" s="247">
        <v>8767</v>
      </c>
      <c r="V88" s="247">
        <v>13</v>
      </c>
      <c r="W88" s="247">
        <v>476657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103450</v>
      </c>
      <c r="BQ88" s="245"/>
      <c r="BR88" s="245"/>
    </row>
    <row r="89" spans="1:70" x14ac:dyDescent="0.2">
      <c r="A89" s="14"/>
      <c r="B89" s="190" t="s">
        <v>558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14437.633837019999</v>
      </c>
      <c r="I89" s="164"/>
      <c r="J89" s="157"/>
      <c r="K89" s="228"/>
      <c r="L89" s="228"/>
      <c r="M89" s="228"/>
      <c r="O89" s="241" t="s">
        <v>315</v>
      </c>
      <c r="P89" s="241">
        <v>14926.42682551</v>
      </c>
      <c r="Q89" s="239"/>
      <c r="S89" s="245" t="s">
        <v>448</v>
      </c>
      <c r="T89" s="245">
        <v>0</v>
      </c>
      <c r="U89" s="245">
        <v>16521</v>
      </c>
      <c r="V89" s="245">
        <v>154</v>
      </c>
      <c r="W89" s="245">
        <v>504906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559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5681.8670914800005</v>
      </c>
      <c r="I90" s="164"/>
      <c r="J90" s="157"/>
      <c r="K90" s="228"/>
      <c r="L90" s="228"/>
      <c r="M90" s="228"/>
      <c r="O90" s="241" t="s">
        <v>316</v>
      </c>
      <c r="P90" s="241">
        <v>5738.8889955699997</v>
      </c>
      <c r="Q90" s="239"/>
      <c r="S90" s="245" t="s">
        <v>182</v>
      </c>
      <c r="T90" s="245">
        <v>1197257.449</v>
      </c>
      <c r="U90" s="245">
        <v>24382</v>
      </c>
      <c r="V90" s="245">
        <v>15</v>
      </c>
      <c r="W90" s="245">
        <v>637952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566</v>
      </c>
      <c r="BQ90" s="245"/>
      <c r="BR90" s="245"/>
    </row>
    <row r="91" spans="1:70" x14ac:dyDescent="0.2">
      <c r="A91" s="149"/>
      <c r="B91" s="190" t="s">
        <v>560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8063.3269042499996</v>
      </c>
      <c r="I91" s="164"/>
      <c r="J91" s="157"/>
      <c r="K91" s="228"/>
      <c r="L91" s="228"/>
      <c r="M91" s="228"/>
      <c r="O91" s="241" t="s">
        <v>72</v>
      </c>
      <c r="P91" s="241">
        <v>9633.3432832899998</v>
      </c>
      <c r="Q91" s="239"/>
      <c r="S91" s="245" t="s">
        <v>446</v>
      </c>
      <c r="T91" s="245">
        <v>25434442794.436401</v>
      </c>
      <c r="U91" s="245">
        <v>123109</v>
      </c>
      <c r="V91" s="245">
        <v>10978</v>
      </c>
      <c r="W91" s="245">
        <v>615965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40271</v>
      </c>
      <c r="BQ91" s="245"/>
      <c r="BR91" s="245"/>
    </row>
    <row r="92" spans="1:70" x14ac:dyDescent="0.2">
      <c r="A92" s="149"/>
      <c r="B92" s="190" t="s">
        <v>561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32405.057842419999</v>
      </c>
      <c r="I92" s="164"/>
      <c r="J92" s="157"/>
      <c r="K92" s="228"/>
      <c r="L92" s="228"/>
      <c r="M92" s="228"/>
      <c r="O92" s="241" t="s">
        <v>74</v>
      </c>
      <c r="P92" s="241">
        <v>29695.97384223</v>
      </c>
      <c r="Q92" s="239"/>
      <c r="S92" s="245" t="s">
        <v>449</v>
      </c>
      <c r="T92" s="245">
        <v>11687641.108999999</v>
      </c>
      <c r="U92" s="245">
        <v>11288</v>
      </c>
      <c r="V92" s="245">
        <v>28</v>
      </c>
      <c r="W92" s="245">
        <v>6634497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44912.826536809996</v>
      </c>
      <c r="I93" s="164"/>
      <c r="J93" s="157"/>
      <c r="K93" s="228"/>
      <c r="L93" s="228"/>
      <c r="M93" s="228"/>
      <c r="O93" s="241" t="s">
        <v>76</v>
      </c>
      <c r="P93" s="241">
        <v>46008.093781039999</v>
      </c>
      <c r="Q93" s="239"/>
      <c r="S93" s="245" t="s">
        <v>450</v>
      </c>
      <c r="T93" s="245">
        <v>0</v>
      </c>
      <c r="U93" s="245">
        <v>9594</v>
      </c>
      <c r="V93" s="245">
        <v>28</v>
      </c>
      <c r="W93" s="245">
        <v>6513524</v>
      </c>
      <c r="X93" s="245">
        <v>1</v>
      </c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545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55627.34615089</v>
      </c>
      <c r="I94" s="164"/>
      <c r="J94" s="157"/>
      <c r="K94" s="228"/>
      <c r="L94" s="228"/>
      <c r="M94" s="228"/>
      <c r="O94" s="241" t="s">
        <v>78</v>
      </c>
      <c r="P94" s="241">
        <v>49388.410494639997</v>
      </c>
      <c r="Q94" s="239"/>
      <c r="S94" s="245" t="s">
        <v>447</v>
      </c>
      <c r="T94" s="245">
        <v>142345701</v>
      </c>
      <c r="U94" s="245">
        <v>28026</v>
      </c>
      <c r="V94" s="245">
        <v>168</v>
      </c>
      <c r="W94" s="245">
        <v>874880</v>
      </c>
      <c r="X94" s="245">
        <v>1</v>
      </c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546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11214.279122800001</v>
      </c>
      <c r="I95" s="164"/>
      <c r="J95" s="157"/>
      <c r="K95" s="228"/>
      <c r="L95" s="228"/>
      <c r="M95" s="228"/>
      <c r="O95" s="241" t="s">
        <v>317</v>
      </c>
      <c r="P95" s="241">
        <v>11075.55921748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6478.1808786000001</v>
      </c>
      <c r="I96" s="164"/>
      <c r="J96" s="157"/>
      <c r="K96" s="228"/>
      <c r="L96" s="228"/>
      <c r="M96" s="228"/>
      <c r="O96" s="241" t="s">
        <v>318</v>
      </c>
      <c r="P96" s="241">
        <v>6772.3075791700003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4940.4821277800002</v>
      </c>
      <c r="I97" s="164"/>
      <c r="K97" s="228"/>
      <c r="L97" s="228"/>
      <c r="M97" s="228"/>
      <c r="O97" s="241" t="s">
        <v>88</v>
      </c>
      <c r="P97" s="241">
        <v>4934.9872383399997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22878.32707313</v>
      </c>
      <c r="I98" s="164"/>
      <c r="K98" s="228"/>
      <c r="L98" s="228"/>
      <c r="M98" s="228"/>
      <c r="O98" s="241" t="s">
        <v>80</v>
      </c>
      <c r="P98" s="241">
        <v>22381.71801963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684.90102178999996</v>
      </c>
      <c r="I99" s="164"/>
      <c r="K99" s="228"/>
      <c r="L99" s="228"/>
      <c r="M99" s="228"/>
      <c r="O99" s="241" t="s">
        <v>319</v>
      </c>
      <c r="P99" s="241">
        <v>660.89152824999996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4889.3916475100004</v>
      </c>
      <c r="I100" s="164"/>
      <c r="K100" s="228"/>
      <c r="L100" s="228"/>
      <c r="M100" s="228"/>
      <c r="O100" s="241" t="s">
        <v>86</v>
      </c>
      <c r="P100" s="241">
        <v>5051.9478890299997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4465.1213230499998</v>
      </c>
      <c r="I101" s="164"/>
      <c r="K101" s="228"/>
      <c r="L101" s="228"/>
      <c r="M101" s="228"/>
      <c r="O101" s="241" t="s">
        <v>320</v>
      </c>
      <c r="P101" s="241">
        <v>4306.8281081100004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42839.36650263</v>
      </c>
      <c r="I102" s="164"/>
      <c r="K102" s="228"/>
      <c r="L102" s="228"/>
      <c r="M102" s="228"/>
      <c r="O102" s="241" t="s">
        <v>82</v>
      </c>
      <c r="P102" s="241">
        <v>43758.976610550002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27460.621325579999</v>
      </c>
      <c r="I103" s="164"/>
      <c r="K103" s="228"/>
      <c r="L103" s="228"/>
      <c r="M103" s="228"/>
      <c r="O103" s="241" t="s">
        <v>84</v>
      </c>
      <c r="P103" s="241">
        <v>28764.724599050001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7630.1862524199996</v>
      </c>
      <c r="I104" s="164"/>
      <c r="K104" s="228"/>
      <c r="L104" s="228"/>
      <c r="M104" s="228"/>
      <c r="O104" s="241" t="s">
        <v>321</v>
      </c>
      <c r="P104" s="241">
        <v>7590.4702690599997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2247.5260826399999</v>
      </c>
      <c r="I105" s="164"/>
      <c r="K105" s="228"/>
      <c r="L105" s="228"/>
      <c r="M105" s="228"/>
      <c r="O105" s="241" t="s">
        <v>322</v>
      </c>
      <c r="P105" s="241">
        <v>2154.4408835600002</v>
      </c>
    </row>
    <row r="106" spans="1:16" x14ac:dyDescent="0.2">
      <c r="B106" s="190" t="s">
        <v>285</v>
      </c>
      <c r="C106" s="193">
        <v>43348</v>
      </c>
      <c r="D106" s="190">
        <v>421.77493391000002</v>
      </c>
      <c r="E106" s="223">
        <v>1</v>
      </c>
      <c r="F106" s="213"/>
      <c r="G106" s="223" t="s">
        <v>323</v>
      </c>
      <c r="H106" s="223">
        <v>154.70876084</v>
      </c>
      <c r="I106" s="164"/>
      <c r="K106" s="228"/>
      <c r="L106" s="228"/>
      <c r="M106" s="228"/>
      <c r="O106" s="241" t="s">
        <v>323</v>
      </c>
      <c r="P106" s="241">
        <v>160.89933973000001</v>
      </c>
    </row>
    <row r="107" spans="1:16" x14ac:dyDescent="0.2">
      <c r="B107" s="190" t="s">
        <v>286</v>
      </c>
      <c r="C107" s="193">
        <v>43348</v>
      </c>
      <c r="D107" s="190">
        <v>302.76282674999999</v>
      </c>
      <c r="E107" s="223">
        <v>1</v>
      </c>
      <c r="F107" s="213"/>
      <c r="G107" s="223" t="s">
        <v>550</v>
      </c>
      <c r="H107" s="223">
        <v>13251.73325261</v>
      </c>
      <c r="I107" s="164"/>
      <c r="K107" s="228"/>
      <c r="L107" s="228"/>
      <c r="M107" s="228"/>
      <c r="O107" s="241" t="s">
        <v>550</v>
      </c>
      <c r="P107" s="241">
        <v>13910.50447224</v>
      </c>
    </row>
    <row r="108" spans="1:16" x14ac:dyDescent="0.2">
      <c r="B108" s="190" t="s">
        <v>287</v>
      </c>
      <c r="C108" s="193">
        <v>43348</v>
      </c>
      <c r="D108" s="190">
        <v>234.75259614999999</v>
      </c>
      <c r="E108" s="223">
        <v>1</v>
      </c>
      <c r="F108" s="209"/>
      <c r="G108" s="223" t="s">
        <v>551</v>
      </c>
      <c r="H108" s="223">
        <v>12714.51163855</v>
      </c>
      <c r="I108" s="164"/>
      <c r="K108" s="228"/>
      <c r="L108" s="228"/>
      <c r="M108" s="228"/>
      <c r="O108" s="241" t="s">
        <v>551</v>
      </c>
      <c r="P108" s="241">
        <v>13348.992146050001</v>
      </c>
    </row>
    <row r="109" spans="1:16" x14ac:dyDescent="0.2">
      <c r="B109" s="190" t="s">
        <v>288</v>
      </c>
      <c r="C109" s="193">
        <v>43348</v>
      </c>
      <c r="D109" s="190">
        <v>553.52868425999998</v>
      </c>
      <c r="E109" s="223">
        <v>1</v>
      </c>
      <c r="F109" s="209"/>
      <c r="G109" s="223" t="s">
        <v>552</v>
      </c>
      <c r="H109" s="223">
        <v>9912.3137908499994</v>
      </c>
      <c r="I109" s="164"/>
      <c r="K109" s="228"/>
      <c r="L109" s="228"/>
      <c r="M109" s="228"/>
      <c r="O109" s="241" t="s">
        <v>552</v>
      </c>
      <c r="P109" s="241">
        <v>10599.52566318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9668.6871021700008</v>
      </c>
      <c r="I110" s="164"/>
      <c r="K110" s="228"/>
      <c r="L110" s="228"/>
      <c r="M110" s="228"/>
      <c r="O110" s="241" t="s">
        <v>324</v>
      </c>
      <c r="P110" s="241">
        <v>9861.2391781999995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82202.540358629994</v>
      </c>
      <c r="I111" s="164"/>
      <c r="K111" s="228"/>
      <c r="L111" s="228"/>
      <c r="M111" s="228"/>
      <c r="O111" s="241" t="s">
        <v>325</v>
      </c>
      <c r="P111" s="241">
        <v>80368.181419440007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42998.750280289998</v>
      </c>
      <c r="I112" s="164"/>
      <c r="K112" s="228"/>
      <c r="L112" s="228"/>
      <c r="M112" s="228"/>
      <c r="O112" s="241" t="s">
        <v>326</v>
      </c>
      <c r="P112" s="241">
        <v>44767.9259714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1146.3511273300001</v>
      </c>
      <c r="I113" s="164"/>
      <c r="K113" s="228"/>
      <c r="L113" s="228"/>
      <c r="M113" s="228"/>
      <c r="O113" s="241" t="s">
        <v>327</v>
      </c>
      <c r="P113" s="241">
        <v>1157.4733325699999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673.18426212999998</v>
      </c>
      <c r="I114" s="164"/>
      <c r="K114" s="228"/>
      <c r="L114" s="228"/>
      <c r="M114" s="228"/>
      <c r="O114" s="241" t="s">
        <v>190</v>
      </c>
      <c r="P114" s="241">
        <v>712.61277385000005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3386.0689562500002</v>
      </c>
      <c r="I115" s="164"/>
      <c r="K115" s="228"/>
      <c r="L115" s="228"/>
      <c r="M115" s="228"/>
      <c r="O115" s="241" t="s">
        <v>329</v>
      </c>
      <c r="P115" s="241">
        <v>3309.0213152000001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3886.8125307099999</v>
      </c>
      <c r="I116" s="164"/>
      <c r="K116" s="228"/>
      <c r="L116" s="228"/>
      <c r="M116" s="228"/>
      <c r="O116" s="241" t="s">
        <v>330</v>
      </c>
      <c r="P116" s="241">
        <v>3551.5074281299999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588.70593867000002</v>
      </c>
      <c r="I117" s="164"/>
      <c r="K117" s="228"/>
      <c r="L117" s="228"/>
      <c r="M117" s="228"/>
      <c r="O117" s="241" t="s">
        <v>331</v>
      </c>
      <c r="P117" s="241">
        <v>616.66354867999996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68.403288799999999</v>
      </c>
      <c r="I118" s="164"/>
      <c r="K118" s="228"/>
      <c r="L118" s="228"/>
      <c r="M118" s="228"/>
      <c r="O118" s="241" t="s">
        <v>333</v>
      </c>
      <c r="P118" s="241">
        <v>67.289430060000001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124.59791537</v>
      </c>
      <c r="I119" s="164"/>
      <c r="K119" s="228"/>
      <c r="L119" s="228"/>
      <c r="M119" s="228"/>
      <c r="O119" s="241" t="s">
        <v>334</v>
      </c>
      <c r="P119" s="241">
        <v>115.68212172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49.959329650000001</v>
      </c>
      <c r="I120" s="164"/>
      <c r="K120" s="228"/>
      <c r="L120" s="228"/>
      <c r="M120" s="228"/>
      <c r="O120" s="241" t="s">
        <v>335</v>
      </c>
      <c r="P120" s="241">
        <v>48.593070849999997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87.210763060000005</v>
      </c>
      <c r="I121" s="164"/>
      <c r="K121" s="228"/>
      <c r="L121" s="228"/>
      <c r="M121" s="228"/>
      <c r="O121" s="241" t="s">
        <v>336</v>
      </c>
      <c r="P121" s="241">
        <v>80.059602870000006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49667.101477080003</v>
      </c>
      <c r="I122" s="164"/>
      <c r="K122" s="228"/>
      <c r="L122" s="228"/>
      <c r="M122" s="228"/>
      <c r="O122" s="241" t="s">
        <v>337</v>
      </c>
      <c r="P122" s="241">
        <v>47955.984405989999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3797.2286903700001</v>
      </c>
      <c r="I123" s="164"/>
      <c r="K123" s="228"/>
      <c r="L123" s="228"/>
      <c r="M123" s="228"/>
      <c r="O123" s="241" t="s">
        <v>338</v>
      </c>
      <c r="P123" s="241">
        <v>3884.6790724000002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56002.082073220001</v>
      </c>
      <c r="I124" s="164"/>
      <c r="K124" s="228"/>
      <c r="L124" s="228"/>
      <c r="M124" s="228"/>
      <c r="O124" s="241" t="s">
        <v>339</v>
      </c>
      <c r="P124" s="241">
        <v>54156.749000260003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11905.330714920001</v>
      </c>
      <c r="I125" s="164"/>
      <c r="K125" s="228"/>
      <c r="L125" s="228"/>
      <c r="M125" s="228"/>
      <c r="O125" s="241" t="s">
        <v>340</v>
      </c>
      <c r="P125" s="241">
        <v>11722.37298301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844.46901027000001</v>
      </c>
      <c r="I126" s="164"/>
      <c r="K126" s="228"/>
      <c r="L126" s="228"/>
      <c r="M126" s="228"/>
      <c r="O126" s="241" t="s">
        <v>341</v>
      </c>
      <c r="P126" s="241">
        <v>838.42651507999994</v>
      </c>
    </row>
    <row r="127" spans="2:16" x14ac:dyDescent="0.2">
      <c r="B127" s="190" t="s">
        <v>303</v>
      </c>
      <c r="C127" s="193">
        <v>43488</v>
      </c>
      <c r="D127" s="190">
        <v>13853.122499999999</v>
      </c>
      <c r="E127" s="223">
        <v>1</v>
      </c>
      <c r="F127" s="209"/>
      <c r="G127" s="223" t="s">
        <v>343</v>
      </c>
      <c r="H127" s="223">
        <v>3185.4838285800001</v>
      </c>
      <c r="I127" s="164"/>
      <c r="K127" s="228"/>
      <c r="L127" s="228"/>
      <c r="M127" s="228"/>
      <c r="O127" s="241" t="s">
        <v>343</v>
      </c>
      <c r="P127" s="241">
        <v>3028.19599057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10649.98975927</v>
      </c>
      <c r="I128" s="164"/>
      <c r="K128" s="228"/>
      <c r="L128" s="228"/>
      <c r="M128" s="228"/>
      <c r="O128" s="241" t="s">
        <v>344</v>
      </c>
      <c r="P128" s="241">
        <v>10513.00423239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18132.52</v>
      </c>
      <c r="I129" s="164"/>
      <c r="K129" s="228"/>
      <c r="L129" s="228"/>
      <c r="M129" s="228"/>
      <c r="O129" s="241" t="s">
        <v>345</v>
      </c>
      <c r="P129" s="241">
        <v>21663.11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8257.2199999999993</v>
      </c>
      <c r="I130" s="164"/>
      <c r="K130" s="228"/>
      <c r="L130" s="228"/>
      <c r="M130" s="228"/>
      <c r="O130" s="241" t="s">
        <v>346</v>
      </c>
      <c r="P130" s="241">
        <v>7762.96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14303.25</v>
      </c>
      <c r="I131" s="164"/>
      <c r="K131" s="228"/>
      <c r="L131" s="228"/>
      <c r="M131" s="228"/>
      <c r="O131" s="241" t="s">
        <v>347</v>
      </c>
      <c r="P131" s="241">
        <v>14620.71</v>
      </c>
    </row>
    <row r="132" spans="2:16" x14ac:dyDescent="0.2">
      <c r="B132" s="190" t="s">
        <v>547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5263.45</v>
      </c>
      <c r="I132" s="164"/>
      <c r="K132" s="228"/>
      <c r="L132" s="228"/>
      <c r="M132" s="228"/>
      <c r="O132" s="241" t="s">
        <v>348</v>
      </c>
      <c r="P132" s="241">
        <v>4785.45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5970.55</v>
      </c>
      <c r="I133" s="164"/>
      <c r="K133" s="228"/>
      <c r="L133" s="228"/>
      <c r="M133" s="228"/>
      <c r="O133" s="241" t="s">
        <v>349</v>
      </c>
      <c r="P133" s="241">
        <v>5318.43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2420.61</v>
      </c>
      <c r="I134" s="164"/>
      <c r="K134" s="228"/>
      <c r="L134" s="228"/>
      <c r="M134" s="228"/>
      <c r="O134" s="241" t="s">
        <v>350</v>
      </c>
      <c r="P134" s="241">
        <v>2608.9699999999998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20818.55</v>
      </c>
      <c r="I135" s="164"/>
      <c r="K135" s="228"/>
      <c r="L135" s="228"/>
      <c r="M135" s="228"/>
      <c r="O135" s="241" t="s">
        <v>351</v>
      </c>
      <c r="P135" s="241">
        <v>21244.91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2554.92</v>
      </c>
      <c r="I136" s="164"/>
      <c r="K136" s="228"/>
      <c r="L136" s="228"/>
      <c r="M136" s="228"/>
      <c r="O136" s="241" t="s">
        <v>352</v>
      </c>
      <c r="P136" s="241">
        <v>2573.17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4890.47</v>
      </c>
      <c r="I137" s="164"/>
      <c r="K137" s="228"/>
      <c r="L137" s="228"/>
      <c r="M137" s="228"/>
      <c r="O137" s="241" t="s">
        <v>353</v>
      </c>
      <c r="P137" s="241">
        <v>6096.15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5016.16</v>
      </c>
      <c r="I138" s="164"/>
      <c r="K138" s="228"/>
      <c r="L138" s="228"/>
      <c r="M138" s="228"/>
      <c r="O138" s="241" t="s">
        <v>354</v>
      </c>
      <c r="P138" s="241">
        <v>5134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4548.1899999999996</v>
      </c>
      <c r="I139" s="164"/>
      <c r="K139" s="228"/>
      <c r="L139" s="228"/>
      <c r="M139" s="228"/>
      <c r="O139" s="241" t="s">
        <v>355</v>
      </c>
      <c r="P139" s="241">
        <v>4593.79</v>
      </c>
    </row>
    <row r="140" spans="2:16" x14ac:dyDescent="0.2">
      <c r="B140" s="190" t="s">
        <v>311</v>
      </c>
      <c r="C140" s="193">
        <v>43342</v>
      </c>
      <c r="D140" s="190">
        <v>1323.46096818</v>
      </c>
      <c r="E140" s="223">
        <v>1</v>
      </c>
      <c r="F140" s="209"/>
      <c r="G140" s="223" t="s">
        <v>356</v>
      </c>
      <c r="H140" s="223">
        <v>8078.49</v>
      </c>
      <c r="I140" s="164"/>
      <c r="K140" s="228"/>
      <c r="L140" s="228"/>
      <c r="M140" s="228"/>
      <c r="O140" s="241" t="s">
        <v>356</v>
      </c>
      <c r="P140" s="241">
        <v>7503.46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18669.349999999999</v>
      </c>
      <c r="I141" s="164"/>
      <c r="K141" s="228"/>
      <c r="L141" s="228"/>
      <c r="M141" s="228"/>
      <c r="O141" s="241" t="s">
        <v>357</v>
      </c>
      <c r="P141" s="241">
        <v>17490.689999999999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10414.219999999999</v>
      </c>
      <c r="I142" s="164"/>
      <c r="K142" s="228"/>
      <c r="L142" s="228"/>
      <c r="M142" s="228"/>
      <c r="O142" s="241" t="s">
        <v>358</v>
      </c>
      <c r="P142" s="241">
        <v>10934.23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546.28</v>
      </c>
      <c r="I143" s="164"/>
      <c r="K143" s="228"/>
      <c r="L143" s="228"/>
      <c r="M143" s="228"/>
      <c r="O143" s="241" t="s">
        <v>359</v>
      </c>
      <c r="P143" s="241">
        <v>440.21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41298.83</v>
      </c>
      <c r="I144" s="164"/>
      <c r="K144" s="228"/>
      <c r="L144" s="228"/>
      <c r="M144" s="228"/>
      <c r="O144" s="241" t="s">
        <v>360</v>
      </c>
      <c r="P144" s="241">
        <v>35046.699999999997</v>
      </c>
    </row>
    <row r="145" spans="2:16" x14ac:dyDescent="0.2">
      <c r="B145" s="190" t="s">
        <v>548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6421.47</v>
      </c>
      <c r="I145" s="164"/>
      <c r="K145" s="228"/>
      <c r="L145" s="228"/>
      <c r="M145" s="228"/>
      <c r="O145" s="241" t="s">
        <v>361</v>
      </c>
      <c r="P145" s="241">
        <v>5845.33</v>
      </c>
    </row>
    <row r="146" spans="2:16" x14ac:dyDescent="0.2">
      <c r="B146" s="190" t="s">
        <v>549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13741.44</v>
      </c>
      <c r="I146" s="164"/>
      <c r="K146" s="228"/>
      <c r="L146" s="228"/>
      <c r="M146" s="228"/>
      <c r="O146" s="241" t="s">
        <v>362</v>
      </c>
      <c r="P146" s="241">
        <v>13438.19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12416</v>
      </c>
      <c r="I147" s="164"/>
      <c r="K147" s="228"/>
      <c r="L147" s="228"/>
      <c r="M147" s="228"/>
      <c r="O147" s="241" t="s">
        <v>363</v>
      </c>
      <c r="P147" s="241">
        <v>12836.35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29162.17</v>
      </c>
      <c r="I148" s="164"/>
      <c r="K148" s="228"/>
      <c r="L148" s="228"/>
      <c r="M148" s="228"/>
      <c r="O148" s="241" t="s">
        <v>364</v>
      </c>
      <c r="P148" s="241">
        <v>28801.39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11075.1</v>
      </c>
      <c r="I149" s="164"/>
      <c r="K149" s="228"/>
      <c r="L149" s="228"/>
      <c r="M149" s="228"/>
      <c r="O149" s="241" t="s">
        <v>365</v>
      </c>
      <c r="P149" s="241">
        <v>11577.94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94250.75</v>
      </c>
      <c r="I150" s="164"/>
      <c r="K150" s="228"/>
      <c r="L150" s="228"/>
      <c r="M150" s="228"/>
      <c r="O150" s="241" t="s">
        <v>366</v>
      </c>
      <c r="P150" s="241">
        <v>90946.75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5960.23</v>
      </c>
      <c r="I151" s="164"/>
      <c r="K151" s="228"/>
      <c r="L151" s="228"/>
      <c r="M151" s="228"/>
      <c r="O151" s="241" t="s">
        <v>367</v>
      </c>
      <c r="P151" s="241">
        <v>5748.93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6581.24</v>
      </c>
      <c r="I152" s="164"/>
      <c r="K152" s="228"/>
      <c r="L152" s="228"/>
      <c r="M152" s="228"/>
      <c r="O152" s="241" t="s">
        <v>368</v>
      </c>
      <c r="P152" s="241">
        <v>6308.67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5978.14</v>
      </c>
      <c r="I153" s="164"/>
      <c r="K153" s="228"/>
      <c r="L153" s="228"/>
      <c r="M153" s="228"/>
      <c r="O153" s="241" t="s">
        <v>369</v>
      </c>
      <c r="P153" s="241">
        <v>6217.35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13067.19</v>
      </c>
      <c r="I154" s="164"/>
      <c r="K154" s="228"/>
      <c r="L154" s="228"/>
      <c r="M154" s="228"/>
      <c r="O154" s="241" t="s">
        <v>370</v>
      </c>
      <c r="P154" s="241">
        <v>13327.43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19422.34</v>
      </c>
      <c r="I155" s="164"/>
      <c r="K155" s="228"/>
      <c r="L155" s="228"/>
      <c r="M155" s="228"/>
      <c r="O155" s="241" t="s">
        <v>371</v>
      </c>
      <c r="P155" s="241">
        <v>18988.93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13388.07</v>
      </c>
      <c r="I156" s="164"/>
      <c r="K156" s="228"/>
      <c r="L156" s="228"/>
      <c r="M156" s="228"/>
      <c r="O156" s="241" t="s">
        <v>372</v>
      </c>
      <c r="P156" s="241">
        <v>13961.52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8603.1</v>
      </c>
      <c r="I157" s="164"/>
      <c r="K157" s="228"/>
      <c r="L157" s="228"/>
      <c r="M157" s="228"/>
      <c r="O157" s="241" t="s">
        <v>373</v>
      </c>
      <c r="P157" s="241">
        <v>8686.56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5405.79</v>
      </c>
      <c r="I158" s="164"/>
      <c r="K158" s="228"/>
      <c r="L158" s="228"/>
      <c r="M158" s="228"/>
      <c r="O158" s="241" t="s">
        <v>374</v>
      </c>
      <c r="P158" s="241">
        <v>5737.54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7435.69</v>
      </c>
      <c r="I159" s="164"/>
      <c r="K159" s="228"/>
      <c r="L159" s="228"/>
      <c r="M159" s="228"/>
      <c r="O159" s="241" t="s">
        <v>375</v>
      </c>
      <c r="P159" s="241">
        <v>7294.15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8821.75</v>
      </c>
      <c r="I160" s="164"/>
      <c r="K160" s="228"/>
      <c r="L160" s="228"/>
      <c r="M160" s="228"/>
      <c r="O160" s="241" t="s">
        <v>376</v>
      </c>
      <c r="P160" s="241">
        <v>8060.72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10848.49</v>
      </c>
      <c r="I161" s="164"/>
      <c r="K161" s="228"/>
      <c r="L161" s="228"/>
      <c r="M161" s="228"/>
      <c r="O161" s="241" t="s">
        <v>377</v>
      </c>
      <c r="P161" s="241">
        <v>11363.69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18132.52</v>
      </c>
      <c r="I162" s="164"/>
      <c r="K162" s="228"/>
      <c r="L162" s="228"/>
      <c r="M162" s="228"/>
      <c r="O162" s="241" t="s">
        <v>379</v>
      </c>
      <c r="P162" s="241">
        <v>21663.11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6184.29</v>
      </c>
      <c r="I163" s="164"/>
      <c r="K163" s="228"/>
      <c r="L163" s="228"/>
      <c r="M163" s="228"/>
      <c r="O163" s="241" t="s">
        <v>380</v>
      </c>
      <c r="P163" s="241">
        <v>5677.39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10030</v>
      </c>
      <c r="I164" s="164"/>
      <c r="K164" s="228"/>
      <c r="L164" s="228"/>
      <c r="M164" s="228"/>
      <c r="O164" s="241" t="s">
        <v>381</v>
      </c>
      <c r="P164" s="241">
        <v>10277.5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12517.5</v>
      </c>
      <c r="I165" s="164"/>
      <c r="K165" s="228"/>
      <c r="L165" s="228"/>
      <c r="M165" s="228"/>
      <c r="O165" s="241" t="s">
        <v>382</v>
      </c>
      <c r="P165" s="241">
        <v>11734.2</v>
      </c>
    </row>
    <row r="166" spans="2:16" x14ac:dyDescent="0.2">
      <c r="B166" s="190" t="s">
        <v>550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13639.8</v>
      </c>
      <c r="I166" s="164"/>
      <c r="K166" s="228"/>
      <c r="L166" s="228"/>
      <c r="M166" s="228"/>
      <c r="O166" s="241" t="s">
        <v>383</v>
      </c>
      <c r="P166" s="241">
        <v>13624.63</v>
      </c>
    </row>
    <row r="167" spans="2:16" x14ac:dyDescent="0.2">
      <c r="B167" s="190" t="s">
        <v>551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38619.379999999997</v>
      </c>
      <c r="I167" s="164"/>
      <c r="K167" s="228"/>
      <c r="L167" s="228"/>
      <c r="M167" s="228"/>
      <c r="O167" s="241" t="s">
        <v>384</v>
      </c>
      <c r="P167" s="241">
        <v>37781.08</v>
      </c>
    </row>
    <row r="168" spans="2:16" x14ac:dyDescent="0.2">
      <c r="B168" s="190" t="s">
        <v>552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5623.96</v>
      </c>
      <c r="I168" s="164"/>
      <c r="K168" s="228"/>
      <c r="L168" s="228"/>
      <c r="M168" s="228"/>
      <c r="O168" s="241" t="s">
        <v>385</v>
      </c>
      <c r="P168" s="241">
        <v>5810.94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10317.969999999999</v>
      </c>
      <c r="I169" s="164"/>
      <c r="K169" s="228"/>
      <c r="L169" s="228"/>
      <c r="M169" s="228"/>
      <c r="O169" s="241" t="s">
        <v>386</v>
      </c>
      <c r="P169" s="241">
        <v>10555.61</v>
      </c>
    </row>
    <row r="170" spans="2:16" x14ac:dyDescent="0.2">
      <c r="B170" s="190" t="s">
        <v>325</v>
      </c>
      <c r="C170" s="193">
        <v>43364</v>
      </c>
      <c r="D170" s="190">
        <v>87713.546681709995</v>
      </c>
      <c r="E170" s="223">
        <v>1</v>
      </c>
      <c r="F170" s="209"/>
      <c r="G170" s="223" t="s">
        <v>387</v>
      </c>
      <c r="H170" s="223">
        <v>10088.86</v>
      </c>
      <c r="I170" s="164"/>
      <c r="K170" s="228"/>
      <c r="L170" s="228"/>
      <c r="M170" s="228"/>
      <c r="O170" s="241" t="s">
        <v>387</v>
      </c>
      <c r="P170" s="241">
        <v>10567.98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4389.5</v>
      </c>
      <c r="I171" s="164"/>
      <c r="K171" s="228"/>
      <c r="L171" s="228"/>
      <c r="M171" s="228"/>
      <c r="O171" s="241" t="s">
        <v>388</v>
      </c>
      <c r="P171" s="241">
        <v>4105.5600000000004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18001.36</v>
      </c>
      <c r="I172" s="164"/>
      <c r="K172" s="228"/>
      <c r="L172" s="228"/>
      <c r="M172" s="228"/>
      <c r="O172" s="241" t="s">
        <v>389</v>
      </c>
      <c r="P172" s="241">
        <v>17633.810000000001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14215.06</v>
      </c>
      <c r="I173" s="164"/>
      <c r="K173" s="228"/>
      <c r="L173" s="228"/>
      <c r="M173" s="228"/>
      <c r="O173" s="241" t="s">
        <v>390</v>
      </c>
      <c r="P173" s="241">
        <v>14536.17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16899.330000000002</v>
      </c>
      <c r="I174" s="164"/>
      <c r="K174" s="228"/>
      <c r="L174" s="228"/>
      <c r="M174" s="228"/>
      <c r="O174" s="241" t="s">
        <v>391</v>
      </c>
      <c r="P174" s="241">
        <v>16815.560000000001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4888.33</v>
      </c>
      <c r="I175" s="164"/>
      <c r="K175" s="228"/>
      <c r="L175" s="228"/>
      <c r="M175" s="228"/>
      <c r="O175" s="241" t="s">
        <v>392</v>
      </c>
      <c r="P175" s="241">
        <v>4492.88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16314.35</v>
      </c>
      <c r="I176" s="164"/>
      <c r="K176" s="228"/>
      <c r="L176" s="228"/>
      <c r="M176" s="228"/>
      <c r="O176" s="241" t="s">
        <v>393</v>
      </c>
      <c r="P176" s="241">
        <v>16052.36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13489.47</v>
      </c>
      <c r="I177" s="164"/>
      <c r="K177" s="228"/>
      <c r="L177" s="228"/>
      <c r="M177" s="228"/>
      <c r="O177" s="241" t="s">
        <v>394</v>
      </c>
      <c r="P177" s="241">
        <v>13800.16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15404.46</v>
      </c>
      <c r="I178" s="164"/>
      <c r="K178" s="228"/>
      <c r="L178" s="228"/>
      <c r="M178" s="228"/>
      <c r="O178" s="241" t="s">
        <v>395</v>
      </c>
      <c r="P178" s="241">
        <v>15382.5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52945.376265040002</v>
      </c>
      <c r="I179" s="164"/>
      <c r="K179" s="228"/>
      <c r="L179" s="228"/>
      <c r="M179" s="228"/>
      <c r="O179" s="241" t="s">
        <v>396</v>
      </c>
      <c r="P179" s="241">
        <v>52079.514471219998</v>
      </c>
    </row>
    <row r="180" spans="2:16" x14ac:dyDescent="0.2">
      <c r="B180" s="190" t="s">
        <v>334</v>
      </c>
      <c r="C180" s="193">
        <v>43341</v>
      </c>
      <c r="D180" s="190">
        <v>135.65917651999999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43348</v>
      </c>
      <c r="D182" s="190">
        <v>98.026254199999997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43347</v>
      </c>
      <c r="D192" s="190">
        <v>11098.43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43348</v>
      </c>
      <c r="D193" s="190">
        <v>19072.88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43523</v>
      </c>
      <c r="D195" s="190">
        <v>5999.66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43342</v>
      </c>
      <c r="D206" s="190">
        <v>51140.160000000003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43364</v>
      </c>
      <c r="D217" s="190">
        <v>20724.45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43523</v>
      </c>
      <c r="D226" s="190">
        <v>6218.88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0"/>
      <c r="G2" s="400"/>
      <c r="H2" s="400"/>
      <c r="I2" s="400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>JSE Markets' Profile 20190228</JSEDescription>
    <JSEDate xmlns="a5d7cc70-31c1-4b2e-9a12-faea9898ee50">2019-03-08T07:00:00+00:00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02E086-95F8-4243-BFFD-2E31F586C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0C54F4-B7C9-4F19-972C-E732F0124192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a5d7cc70-31c1-4b2e-9a12-faea9898ee50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5A0128-9DB8-477B-8E06-E7E4E9425A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20190228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2019-03-08T08:54:03Z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