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ITaC" sheetId="10" state="hidden" r:id="rId2"/>
    <sheet name="Data" sheetId="7" state="hidden" r:id="rId3"/>
    <sheet name="Sheet3" sheetId="2" state="hidden" r:id="rId4"/>
    <sheet name="Sheet4" sheetId="3" state="hidden" r:id="rId5"/>
    <sheet name="Sheet5" sheetId="5" state="hidden" r:id="rId6"/>
    <sheet name="Sheet6" sheetId="6" state="hidden" r:id="rId7"/>
    <sheet name="IRD" sheetId="8" state="hidden" r:id="rId8"/>
    <sheet name="Sheet7" sheetId="9" state="hidden" r:id="rId9"/>
  </sheets>
  <definedNames>
    <definedName name="_xlnm._FilterDatabase" localSheetId="2" hidden="1">Data!$B$23:$E$273</definedName>
    <definedName name="_xlnm._FilterDatabase" localSheetId="4" hidden="1">Sheet4!$A$11:$F$56</definedName>
  </definedNames>
  <calcPr calcId="152511"/>
</workbook>
</file>

<file path=xl/calcChain.xml><?xml version="1.0" encoding="utf-8"?>
<calcChain xmlns="http://schemas.openxmlformats.org/spreadsheetml/2006/main">
  <c r="C40" i="1" l="1"/>
  <c r="C38" i="1"/>
  <c r="C39" i="1"/>
  <c r="B40" i="1"/>
  <c r="B39" i="1"/>
  <c r="B38" i="1"/>
  <c r="D396" i="1" l="1"/>
  <c r="D395" i="1"/>
  <c r="D394" i="1"/>
  <c r="D393" i="1"/>
  <c r="D392" i="1"/>
  <c r="D391" i="1"/>
  <c r="D390" i="1"/>
  <c r="G396" i="1"/>
  <c r="G394" i="1"/>
  <c r="G393" i="1"/>
  <c r="G392" i="1"/>
  <c r="G391" i="1"/>
  <c r="G390" i="1"/>
  <c r="B129" i="1" l="1"/>
  <c r="B128" i="1"/>
  <c r="B127" i="1"/>
  <c r="B123" i="1"/>
  <c r="B122" i="1"/>
  <c r="B121" i="1"/>
  <c r="C419" i="1"/>
  <c r="C418" i="1"/>
  <c r="C417" i="1"/>
  <c r="C410" i="1" l="1"/>
  <c r="C409" i="1" l="1"/>
  <c r="C411" i="1"/>
  <c r="C412" i="1"/>
  <c r="C413" i="1"/>
  <c r="C414" i="1"/>
  <c r="C408" i="1"/>
  <c r="C355" i="1"/>
  <c r="C356" i="1"/>
  <c r="C357" i="1"/>
  <c r="C358" i="1"/>
  <c r="C359" i="1"/>
  <c r="C360" i="1"/>
  <c r="C354" i="1"/>
  <c r="C373" i="1"/>
  <c r="C374" i="1"/>
  <c r="C375" i="1"/>
  <c r="C376" i="1"/>
  <c r="C377" i="1"/>
  <c r="C378" i="1"/>
  <c r="C372" i="1"/>
  <c r="C383" i="1"/>
  <c r="C382" i="1"/>
  <c r="C392" i="1"/>
  <c r="C401" i="1"/>
  <c r="C400" i="1"/>
  <c r="C396" i="1"/>
  <c r="C395" i="1"/>
  <c r="C394" i="1"/>
  <c r="C393" i="1"/>
  <c r="C391" i="1"/>
  <c r="C390" i="1"/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G403" i="1"/>
  <c r="G402" i="1"/>
  <c r="G401" i="1"/>
  <c r="G400" i="1"/>
  <c r="G395" i="1"/>
  <c r="C403" i="1"/>
  <c r="C402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79" i="1"/>
  <c r="G367" i="1"/>
  <c r="G366" i="1"/>
  <c r="G365" i="1"/>
  <c r="G364" i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G368" i="1" l="1"/>
  <c r="D68" i="1"/>
  <c r="C68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B210" i="1"/>
  <c r="E201" i="1" l="1"/>
  <c r="E198" i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D40" i="1"/>
  <c r="D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C130" i="1"/>
  <c r="C124" i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F397" i="1" s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<sst xmlns="http://schemas.openxmlformats.org/spreadsheetml/2006/main" count="2511" uniqueCount="680">
  <si>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</si>
  <si>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</si>
  <si>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</si>
  <si>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</si>
  <si>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</si>
  <si>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</si>
  <si>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</si>
  <si>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</si>
  <si>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</si>
  <si>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</si>
  <si>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</si>
  <si>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</si>
  <si>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</si>
  <si>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</si>
  <si>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</si>
  <si>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</si>
  <si>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</si>
  <si>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</si>
  <si>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</si>
  <si>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</si>
  <si>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</si>
  <si>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</si>
  <si>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</si>
  <si>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</si>
  <si>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</si>
  <si>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</si>
  <si>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</si>
  <si>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</si>
  <si>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</si>
  <si>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</si>
  <si>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</si>
  <si>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</si>
  <si>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</si>
  <si>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</si>
  <si>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</si>
  <si>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</si>
  <si>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</si>
  <si>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</si>
  <si>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</si>
  <si>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</si>
  <si>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</si>
  <si>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</si>
  <si>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</si>
  <si>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</si>
  <si>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</si>
  <si>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</si>
  <si>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</si>
  <si>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</si>
  <si>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</si>
  <si>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</si>
  <si>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</si>
  <si>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</si>
  <si>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</si>
  <si>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</si>
  <si>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</si>
  <si>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</si>
  <si>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</si>
  <si>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</si>
  <si>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</si>
  <si>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</si>
  <si>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</si>
  <si>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</si>
  <si>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</si>
  <si>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</si>
  <si>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</si>
  <si>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</si>
  <si>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</si>
  <si>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</si>
  <si>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</si>
  <si>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</si>
  <si>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</si>
  <si>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</si>
  <si>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</si>
  <si>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</si>
  <si>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</si>
  <si>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</si>
  <si>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</si>
  <si>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</si>
  <si>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</si>
  <si>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</si>
  <si>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</si>
  <si>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</si>
  <si>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</si>
  <si>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</si>
  <si>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</si>
  <si>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</si>
  <si>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</si>
  <si>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</si>
  <si>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</si>
  <si>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</si>
  <si>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</si>
  <si>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</si>
  <si>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</si>
  <si>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</si>
  <si>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</si>
  <si>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</si>
  <si>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</si>
  <si>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</si>
  <si>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</si>
  <si>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</si>
  <si>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</si>
  <si>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</si>
  <si>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</si>
  <si>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</si>
  <si>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</si>
  <si>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</si>
  <si>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</si>
  <si>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</si>
  <si>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</si>
  <si>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</si>
  <si>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</si>
  <si>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</si>
  <si>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</si>
  <si>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</si>
  <si>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</si>
  <si>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</si>
  <si>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</si>
  <si>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</si>
  <si>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</si>
  <si>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</si>
  <si>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</si>
  <si>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</si>
  <si>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</si>
  <si>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</si>
  <si>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</si>
  <si>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</si>
  <si>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</si>
  <si>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</si>
  <si>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</si>
  <si>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</si>
  <si>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</si>
  <si>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</si>
  <si>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</si>
  <si>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</si>
  <si>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</si>
  <si>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</si>
  <si>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</si>
  <si>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</si>
  <si>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</si>
  <si>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</si>
  <si>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</si>
  <si>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</si>
  <si>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</si>
  <si>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</si>
  <si>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</si>
  <si>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</si>
  <si>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</si>
  <si>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</si>
  <si>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</si>
  <si>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</si>
  <si>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</si>
  <si>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</si>
  <si>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</si>
  <si>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</si>
  <si>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</si>
  <si>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</si>
  <si>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</si>
  <si>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</si>
  <si>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</si>
  <si>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</si>
  <si>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</si>
  <si>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</si>
  <si>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</si>
  <si>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</si>
  <si>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</si>
  <si>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</si>
  <si>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</si>
  <si>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</si>
  <si>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</si>
  <si>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</si>
  <si>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</si>
  <si>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</si>
  <si>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</si>
  <si>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</si>
  <si>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</si>
  <si>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</si>
  <si>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</si>
  <si>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</si>
  <si>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</si>
  <si>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</si>
  <si>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</si>
  <si>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</si>
  <si>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</si>
  <si>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</si>
  <si>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</si>
  <si>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</si>
  <si>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</si>
  <si>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</si>
  <si>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</si>
  <si>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</si>
  <si>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</si>
  <si>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</si>
  <si>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</si>
  <si>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</si>
  <si>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</si>
  <si>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</si>
  <si>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</si>
  <si>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</si>
  <si>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</si>
  <si>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</si>
  <si>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</si>
  <si>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</si>
  <si>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</si>
  <si>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</si>
  <si>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</si>
  <si>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</si>
  <si>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</si>
  <si>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</si>
  <si>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</si>
  <si>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</si>
  <si>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</si>
  <si>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</si>
  <si>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</si>
  <si>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</si>
  <si>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</si>
  <si>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</si>
  <si>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</si>
  <si>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</si>
  <si>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</si>
  <si>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</si>
  <si>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</si>
  <si>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</si>
  <si>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</si>
  <si>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</si>
  <si>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</si>
  <si>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</si>
  <si>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</si>
  <si>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</si>
  <si>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</si>
  <si>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</si>
  <si>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</si>
  <si>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</si>
  <si>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</si>
  <si>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</si>
  <si>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</si>
  <si>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</si>
  <si>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</si>
  <si>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</si>
  <si>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</si>
  <si>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</si>
  <si>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</si>
  <si>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</si>
  <si>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</si>
  <si>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</si>
  <si>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</si>
  <si>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</si>
  <si>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</si>
  <si>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</si>
  <si>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</si>
  <si>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</si>
  <si>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</si>
  <si>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</si>
  <si>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</si>
  <si>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</si>
  <si>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</si>
  <si>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</si>
  <si>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</si>
  <si>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</si>
  <si>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</si>
  <si>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</si>
  <si>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</si>
  <si>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</si>
  <si>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</si>
  <si>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</si>
  <si>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</si>
  <si>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</si>
  <si>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</si>
  <si>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</si>
  <si>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</si>
  <si>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</si>
  <si>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</si>
  <si>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</si>
  <si>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</si>
  <si>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</si>
  <si>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</si>
  <si>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</si>
  <si>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</si>
  <si>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</si>
  <si>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</si>
  <si>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</si>
  <si>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</si>
  <si>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</si>
  <si>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</si>
  <si>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</si>
  <si>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</si>
  <si>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</si>
  <si>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</si>
  <si>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</si>
  <si>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</si>
  <si>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</si>
  <si>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</si>
  <si>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</si>
  <si>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</si>
  <si>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</si>
  <si>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</si>
  <si>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</si>
  <si>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</si>
  <si>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</si>
  <si>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</si>
  <si>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</si>
  <si>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</si>
  <si>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</si>
  <si>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</si>
  <si>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</si>
  <si>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</si>
  <si>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</si>
  <si>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</si>
  <si>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</si>
  <si>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</si>
  <si>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</si>
  <si>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</si>
  <si>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</si>
  <si>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</si>
  <si>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</si>
  <si>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</si>
  <si>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</si>
  <si>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</si>
  <si>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</si>
  <si>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</si>
  <si>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</si>
  <si>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</si>
  <si>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</si>
  <si>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</si>
  <si>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</si>
  <si>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</si>
  <si>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</si>
  <si>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</si>
  <si>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</si>
  <si>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</si>
  <si>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</si>
  <si>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</si>
  <si>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</si>
  <si>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</si>
  <si>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</si>
  <si>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</si>
  <si>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</si>
  <si>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</si>
  <si>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</si>
  <si>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</si>
  <si>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</si>
  <si>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</si>
  <si>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</si>
  <si>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</si>
  <si>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</si>
  <si>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</si>
  <si>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</si>
  <si>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</si>
  <si>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</si>
  <si>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</si>
  <si>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</si>
  <si>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</si>
  <si>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</si>
  <si>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</si>
  <si>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</si>
  <si>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</si>
  <si>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</si>
  <si>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</si>
  <si>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</si>
  <si>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</si>
  <si>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</si>
  <si>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</si>
  <si>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</si>
  <si>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</si>
  <si>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</si>
  <si>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</si>
  <si>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</si>
  <si>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</si>
  <si>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</si>
  <si>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</si>
  <si>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</si>
  <si>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</si>
  <si>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</si>
  <si>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</si>
  <si>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</si>
  <si>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</si>
  <si>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</si>
  <si>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</si>
  <si>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</si>
  <si>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</si>
  <si>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</si>
  <si>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</si>
  <si>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</si>
  <si>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</si>
  <si>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</si>
  <si>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</si>
  <si>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</si>
  <si>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</si>
  <si>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</si>
  <si>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</si>
  <si>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</si>
  <si>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</si>
  <si>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</si>
  <si>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</si>
  <si>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</si>
  <si>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</si>
  <si>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</si>
  <si>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</si>
  <si>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</si>
  <si>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</si>
  <si>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</si>
  <si>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</si>
  <si>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</si>
  <si>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</si>
  <si>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</si>
  <si>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</si>
  <si>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</si>
  <si>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</si>
  <si>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</si>
  <si>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</si>
  <si>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</si>
  <si>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</si>
  <si>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</si>
  <si>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</si>
  <si>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</si>
  <si>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</si>
  <si>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</si>
  <si>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</si>
  <si>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</si>
  <si>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</si>
  <si>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</si>
  <si>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</si>
  <si>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</si>
  <si>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</si>
  <si>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</si>
  <si>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</si>
  <si>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</si>
  <si>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</si>
  <si>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</si>
  <si>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</si>
  <si>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</si>
  <si>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</si>
  <si>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</si>
  <si>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</si>
  <si>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</si>
  <si>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</si>
  <si>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</si>
  <si>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</si>
  <si>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</si>
  <si>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</si>
  <si>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</si>
  <si>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</si>
  <si>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</si>
  <si>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</si>
  <si>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</si>
  <si>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</si>
  <si>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</si>
  <si>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</si>
  <si>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</si>
  <si>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</si>
  <si>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</si>
  <si>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</si>
  <si>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</si>
  <si>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</si>
  <si>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</si>
  <si>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</si>
  <si>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</si>
  <si>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</si>
  <si>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</si>
  <si>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</si>
  <si>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</si>
  <si>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</si>
  <si>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</si>
  <si>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</si>
  <si>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</si>
  <si>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</si>
  <si>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</si>
  <si>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</si>
  <si>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</si>
  <si>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</si>
  <si>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</si>
  <si>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</si>
  <si>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</si>
  <si>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</si>
  <si>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</si>
  <si>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</si>
  <si>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</si>
  <si>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</si>
  <si>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</si>
  <si>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</si>
  <si>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</si>
  <si>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</si>
  <si>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</si>
  <si>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</si>
  <si>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</si>
  <si>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</si>
  <si>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</si>
  <si>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</si>
  <si>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</si>
  <si>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</si>
  <si>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</si>
  <si>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</si>
  <si>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</si>
  <si>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</si>
  <si>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</si>
  <si>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</si>
  <si>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</si>
  <si>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</si>
  <si>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</si>
  <si>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</si>
  <si>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</si>
  <si>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</si>
  <si>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</si>
  <si>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</si>
  <si>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</si>
  <si>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</si>
  <si>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</si>
  <si>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</si>
  <si>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</si>
  <si>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</si>
  <si>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</si>
  <si>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</si>
  <si>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</si>
  <si>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</si>
  <si>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</si>
  <si>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</si>
  <si>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</si>
  <si>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</si>
  <si>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</si>
  <si>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</si>
  <si>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</si>
  <si>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</si>
  <si>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</si>
  <si>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</si>
  <si>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</si>
  <si>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</si>
  <si>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</si>
  <si>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</si>
  <si>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</si>
  <si>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</si>
  <si>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</si>
  <si>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</si>
  <si>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</si>
  <si>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>NOTE:FTSE/JSE Indices were reintroduced in June 2002 and all values are reflective since.</t>
  </si>
  <si>
    <t>09/2016</t>
  </si>
  <si>
    <t xml:space="preserve">                      -  </t>
  </si>
  <si>
    <t xml:space="preserve">                         -   </t>
  </si>
  <si>
    <t xml:space="preserve">                        -    </t>
  </si>
  <si>
    <t xml:space="preserve">                         -  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</si>
  <si>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</si>
  <si>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</si>
  <si>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</si>
  <si>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</si>
  <si>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</si>
  <si>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</si>
  <si>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</si>
  <si>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</si>
  <si>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</si>
  <si>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</si>
  <si>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</si>
  <si>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</si>
  <si>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</si>
  <si>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</si>
  <si>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</si>
  <si>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</si>
  <si>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</si>
  <si>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</si>
  <si>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</si>
  <si>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</si>
  <si>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</si>
  <si>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</si>
  <si>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</si>
  <si>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</si>
  <si>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</si>
  <si>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</si>
  <si>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</si>
  <si>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</si>
  <si>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</si>
  <si>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</si>
  <si>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</si>
  <si>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</si>
  <si>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</si>
  <si>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</si>
  <si>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</si>
  <si>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</si>
  <si>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</si>
  <si>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</si>
  <si>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</si>
  <si>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</si>
  <si>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</si>
  <si>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</si>
  <si>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</si>
  <si>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</si>
  <si>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</si>
  <si>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</si>
  <si>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</si>
  <si>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</si>
  <si>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</si>
  <si>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</si>
  <si>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</si>
  <si>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MINI BITTER SORGHUM FUTURES</t>
  </si>
  <si>
    <t>MINI SWEET SORGUM FUTURES</t>
  </si>
  <si>
    <t>NATURAL GAS QUANTO</t>
  </si>
  <si>
    <t>PALLADIUM</t>
  </si>
  <si>
    <t>PALLADIUM QUANTO</t>
  </si>
  <si>
    <t>PLATINUM</t>
  </si>
  <si>
    <t xml:space="preserve">PLATINUM QUANTO </t>
  </si>
  <si>
    <t>QUANTO CORN COMMODITY CANDO</t>
  </si>
  <si>
    <t>QUANTO SOYBEAN COMMODITY CANDO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</si>
  <si>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</si>
  <si>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</si>
  <si>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</si>
  <si>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</si>
  <si>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</si>
  <si>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</si>
  <si>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</si>
  <si>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</si>
  <si>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</si>
  <si>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</si>
  <si>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</si>
  <si>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</si>
  <si>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</si>
  <si>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</si>
  <si>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</si>
  <si>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</si>
  <si>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</si>
  <si>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</si>
  <si>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BRENT CRUDE OIL COMMODITY CAN-DO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</si>
  <si>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</si>
  <si>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</si>
  <si>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</si>
  <si>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</si>
  <si>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</si>
  <si>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</si>
  <si>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</si>
  <si>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</si>
  <si>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</si>
  <si>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</si>
  <si>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</si>
  <si>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</si>
  <si>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</si>
  <si>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</si>
  <si>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</si>
  <si>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</si>
  <si>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</si>
  <si>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</si>
  <si>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</si>
  <si>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</si>
  <si>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</si>
  <si>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</si>
  <si>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</si>
  <si>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</si>
  <si>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</si>
  <si>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</si>
  <si>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</si>
  <si>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</si>
  <si>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</si>
  <si>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</si>
  <si>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</si>
  <si>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</si>
  <si>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</si>
  <si>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</si>
  <si>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</si>
  <si>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</si>
  <si>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</si>
  <si>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</si>
  <si>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</si>
  <si>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</si>
  <si>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</si>
  <si>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2019/04</t>
  </si>
  <si>
    <t>CorporateActionTypeCode</t>
  </si>
  <si>
    <t>SUM_TotalValue</t>
  </si>
  <si>
    <t>GI</t>
  </si>
  <si>
    <t>SI</t>
  </si>
  <si>
    <t>SO</t>
  </si>
  <si>
    <t>SS</t>
  </si>
  <si>
    <t>AS</t>
  </si>
  <si>
    <t>TU</t>
  </si>
  <si>
    <t>Row Labels</t>
  </si>
  <si>
    <t>Sum of Nominal Value</t>
  </si>
  <si>
    <t>Sum of Deals</t>
  </si>
  <si>
    <t>F</t>
  </si>
  <si>
    <t>O</t>
  </si>
  <si>
    <t>Sum of Contracts Traded</t>
  </si>
  <si>
    <t>Sum of openinterestquantity</t>
  </si>
  <si>
    <t>FE</t>
  </si>
  <si>
    <t>OE</t>
  </si>
  <si>
    <t>Grand Total Currency - Future Expiry</t>
  </si>
  <si>
    <t>Grand Total Currency - Option Expiry</t>
  </si>
  <si>
    <t>Grand Total</t>
  </si>
  <si>
    <t>Note: The monthly "local liquidity"  using the value traded and Strate market capitalisation is 51.97%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</si>
</sst>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 * #,##0.00_ ;_ * \-#,##0.00_ ;_ * &quot;-&quot;??_ ;_ @_ "/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  <numFmt numFmtId="172" formatCode="[$-10409]#,##0"/>
    <numFmt numFmtId="173" formatCode="[$-10409]#,##0.00"/>
  </numFmts>
  <fonts count="7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  <font>
      <sz val="18"/>
      <color theme="3"/>
      <name val="Cambria"/>
      <family val="2"/>
      <scheme val="major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sz val="8"/>
      <color theme="0"/>
      <name val="Arial"/>
      <family val="2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808080"/>
        <bgColor rgb="FF808080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188">
    <xf numFmtId="0" fontId="0" fillId="0" borderId="0"/>
    <xf numFmtId="165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" applyNumberFormat="0" applyFill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32" fillId="2" borderId="0" applyNumberFormat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4" applyNumberFormat="0" applyAlignment="0" applyProtection="0"/>
    <xf numFmtId="0" fontId="36" fillId="6" borderId="5" applyNumberFormat="0" applyAlignment="0" applyProtection="0"/>
    <xf numFmtId="0" fontId="37" fillId="6" borderId="4" applyNumberFormat="0" applyAlignment="0" applyProtection="0"/>
    <xf numFmtId="0" fontId="38" fillId="0" borderId="6" applyNumberFormat="0" applyFill="0" applyAlignment="0" applyProtection="0"/>
    <xf numFmtId="0" fontId="39" fillId="7" borderId="7" applyNumberFormat="0" applyAlignment="0" applyProtection="0"/>
    <xf numFmtId="0" fontId="40" fillId="0" borderId="0" applyNumberFormat="0" applyFill="0" applyBorder="0" applyAlignment="0" applyProtection="0"/>
    <xf numFmtId="0" fontId="21" fillId="8" borderId="8" applyNumberFormat="0" applyFont="0" applyAlignment="0" applyProtection="0"/>
    <xf numFmtId="0" fontId="4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42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42" fillId="32" borderId="0" applyNumberFormat="0" applyBorder="0" applyAlignment="0" applyProtection="0"/>
    <xf numFmtId="9" fontId="21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2" borderId="0" applyNumberFormat="0" applyBorder="0" applyAlignment="0" applyProtection="0"/>
    <xf numFmtId="0" fontId="65" fillId="3" borderId="0" applyNumberFormat="0" applyBorder="0" applyAlignment="0" applyProtection="0"/>
    <xf numFmtId="0" fontId="66" fillId="4" borderId="0" applyNumberFormat="0" applyBorder="0" applyAlignment="0" applyProtection="0"/>
    <xf numFmtId="0" fontId="67" fillId="5" borderId="4" applyNumberFormat="0" applyAlignment="0" applyProtection="0"/>
    <xf numFmtId="0" fontId="68" fillId="6" borderId="5" applyNumberFormat="0" applyAlignment="0" applyProtection="0"/>
    <xf numFmtId="0" fontId="69" fillId="6" borderId="4" applyNumberFormat="0" applyAlignment="0" applyProtection="0"/>
    <xf numFmtId="0" fontId="70" fillId="0" borderId="6" applyNumberFormat="0" applyFill="0" applyAlignment="0" applyProtection="0"/>
    <xf numFmtId="0" fontId="71" fillId="7" borderId="7" applyNumberFormat="0" applyAlignment="0" applyProtection="0"/>
    <xf numFmtId="0" fontId="72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73" fillId="0" borderId="0" applyNumberFormat="0" applyFill="0" applyBorder="0" applyAlignment="0" applyProtection="0"/>
    <xf numFmtId="0" fontId="54" fillId="0" borderId="9" applyNumberFormat="0" applyFill="0" applyAlignment="0" applyProtection="0"/>
    <xf numFmtId="0" fontId="7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4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25">
    <xf numFmtId="0" fontId="0" fillId="0" borderId="0" xfId="0"/>
    <xf numFmtId="0" fontId="22" fillId="0" borderId="0" xfId="0" applyFont="1"/>
    <xf numFmtId="165" fontId="0" fillId="0" borderId="0" xfId="1" applyFont="1"/>
    <xf numFmtId="166" fontId="0" fillId="0" borderId="0" xfId="1" applyNumberFormat="1" applyFont="1"/>
    <xf numFmtId="166" fontId="22" fillId="0" borderId="0" xfId="1" applyNumberFormat="1" applyFont="1"/>
    <xf numFmtId="165" fontId="22" fillId="0" borderId="0" xfId="1" applyFont="1"/>
    <xf numFmtId="14" fontId="0" fillId="0" borderId="0" xfId="0" applyNumberFormat="1" applyAlignment="1">
      <alignment horizontal="right"/>
    </xf>
    <xf numFmtId="14" fontId="22" fillId="0" borderId="0" xfId="0" applyNumberFormat="1" applyFont="1" applyAlignment="1">
      <alignment horizontal="right"/>
    </xf>
    <xf numFmtId="0" fontId="24" fillId="0" borderId="0" xfId="0" applyFont="1" applyFill="1"/>
    <xf numFmtId="0" fontId="26" fillId="0" borderId="0" xfId="0" applyFont="1" applyFill="1"/>
    <xf numFmtId="0" fontId="0" fillId="0" borderId="0" xfId="0" applyFont="1"/>
    <xf numFmtId="17" fontId="22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5" fillId="0" borderId="0" xfId="0" applyNumberFormat="1" applyFont="1"/>
    <xf numFmtId="0" fontId="23" fillId="0" borderId="0" xfId="0" applyFont="1"/>
    <xf numFmtId="166" fontId="0" fillId="0" borderId="0" xfId="0" applyNumberFormat="1" applyFont="1"/>
    <xf numFmtId="3" fontId="22" fillId="0" borderId="0" xfId="0" applyNumberFormat="1" applyFont="1"/>
    <xf numFmtId="0" fontId="22" fillId="0" borderId="0" xfId="0" applyFont="1"/>
    <xf numFmtId="0" fontId="43" fillId="0" borderId="0" xfId="0" applyFont="1"/>
    <xf numFmtId="3" fontId="0" fillId="0" borderId="0" xfId="0" applyNumberFormat="1" applyFont="1"/>
    <xf numFmtId="165" fontId="0" fillId="0" borderId="0" xfId="0" applyNumberFormat="1"/>
    <xf numFmtId="0" fontId="27" fillId="0" borderId="0" xfId="0" applyFont="1"/>
    <xf numFmtId="168" fontId="19" fillId="0" borderId="0" xfId="0" applyNumberFormat="1" applyFont="1"/>
    <xf numFmtId="167" fontId="22" fillId="0" borderId="0" xfId="0" applyNumberFormat="1" applyFont="1"/>
    <xf numFmtId="0" fontId="22" fillId="0" borderId="0" xfId="0" applyFont="1" applyAlignment="1">
      <alignment horizontal="right"/>
    </xf>
    <xf numFmtId="0" fontId="22" fillId="0" borderId="0" xfId="0" quotePrefix="1" applyFont="1" applyAlignment="1">
      <alignment horizontal="right"/>
    </xf>
    <xf numFmtId="0" fontId="22" fillId="0" borderId="0" xfId="0" applyFont="1"/>
    <xf numFmtId="166" fontId="0" fillId="0" borderId="0" xfId="0" applyNumberFormat="1" applyFont="1"/>
    <xf numFmtId="0" fontId="0" fillId="0" borderId="0" xfId="0" applyFont="1"/>
    <xf numFmtId="166" fontId="18" fillId="0" borderId="0" xfId="0" applyNumberFormat="1" applyFont="1" applyFill="1"/>
    <xf numFmtId="3" fontId="19" fillId="0" borderId="0" xfId="0" applyNumberFormat="1" applyFont="1"/>
    <xf numFmtId="166" fontId="23" fillId="0" borderId="0" xfId="0" applyNumberFormat="1" applyFont="1" applyFill="1"/>
    <xf numFmtId="166" fontId="0" fillId="0" borderId="0" xfId="0" applyNumberFormat="1" applyFont="1" applyFill="1"/>
    <xf numFmtId="166" fontId="22" fillId="0" borderId="0" xfId="0" applyNumberFormat="1" applyFont="1"/>
    <xf numFmtId="0" fontId="22" fillId="0" borderId="0" xfId="0" applyFont="1"/>
    <xf numFmtId="0" fontId="25" fillId="0" borderId="0" xfId="0" applyFont="1"/>
    <xf numFmtId="166" fontId="19" fillId="0" borderId="0" xfId="0" applyNumberFormat="1" applyFont="1"/>
    <xf numFmtId="167" fontId="0" fillId="0" borderId="0" xfId="0" applyNumberFormat="1" applyFont="1"/>
    <xf numFmtId="167" fontId="22" fillId="0" borderId="0" xfId="0" applyNumberFormat="1" applyFont="1"/>
    <xf numFmtId="0" fontId="22" fillId="0" borderId="0" xfId="0" applyFont="1" applyAlignment="1">
      <alignment horizontal="right"/>
    </xf>
    <xf numFmtId="166" fontId="27" fillId="0" borderId="0" xfId="0" applyNumberFormat="1" applyFont="1"/>
    <xf numFmtId="0" fontId="0" fillId="0" borderId="0" xfId="0"/>
    <xf numFmtId="0" fontId="27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5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8" fillId="0" borderId="0" xfId="0" applyNumberFormat="1" applyFont="1"/>
    <xf numFmtId="166" fontId="23" fillId="0" borderId="0" xfId="0" applyNumberFormat="1" applyFont="1"/>
    <xf numFmtId="167" fontId="23" fillId="0" borderId="0" xfId="0" applyNumberFormat="1" applyFont="1"/>
    <xf numFmtId="0" fontId="47" fillId="0" borderId="0" xfId="0" applyFont="1"/>
    <xf numFmtId="167" fontId="0" fillId="0" borderId="0" xfId="0" applyNumberFormat="1" applyFont="1" applyAlignment="1">
      <alignment horizontal="right"/>
    </xf>
    <xf numFmtId="166" fontId="47" fillId="0" borderId="0" xfId="0" applyNumberFormat="1" applyFont="1"/>
    <xf numFmtId="166" fontId="46" fillId="0" borderId="0" xfId="0" applyNumberFormat="1" applyFont="1"/>
    <xf numFmtId="0" fontId="22" fillId="0" borderId="0" xfId="0" applyFont="1"/>
    <xf numFmtId="167" fontId="0" fillId="0" borderId="0" xfId="1" applyNumberFormat="1" applyFont="1"/>
    <xf numFmtId="0" fontId="22" fillId="0" borderId="0" xfId="0" applyFont="1"/>
    <xf numFmtId="0" fontId="24" fillId="0" borderId="0" xfId="0" applyFont="1"/>
    <xf numFmtId="0" fontId="22" fillId="0" borderId="0" xfId="0" applyFont="1"/>
    <xf numFmtId="0" fontId="22" fillId="0" borderId="0" xfId="0" applyFont="1"/>
    <xf numFmtId="166" fontId="0" fillId="0" borderId="0" xfId="0" applyNumberFormat="1" applyFont="1"/>
    <xf numFmtId="166" fontId="18" fillId="0" borderId="0" xfId="1" applyNumberFormat="1" applyFont="1"/>
    <xf numFmtId="0" fontId="22" fillId="0" borderId="0" xfId="0" applyFont="1"/>
    <xf numFmtId="0" fontId="22" fillId="0" borderId="0" xfId="0" applyFont="1"/>
    <xf numFmtId="166" fontId="25" fillId="0" borderId="0" xfId="0" quotePrefix="1" applyNumberFormat="1" applyFont="1" applyAlignment="1">
      <alignment horizontal="right"/>
    </xf>
    <xf numFmtId="166" fontId="17" fillId="0" borderId="0" xfId="0" applyNumberFormat="1" applyFont="1"/>
    <xf numFmtId="166" fontId="21" fillId="0" borderId="0" xfId="0" applyNumberFormat="1" applyFont="1"/>
    <xf numFmtId="0" fontId="46" fillId="0" borderId="0" xfId="0" applyFont="1"/>
    <xf numFmtId="166" fontId="17" fillId="0" borderId="0" xfId="0" applyNumberFormat="1" applyFont="1"/>
    <xf numFmtId="0" fontId="17" fillId="0" borderId="0" xfId="0" applyFont="1"/>
    <xf numFmtId="166" fontId="16" fillId="0" borderId="0" xfId="0" applyNumberFormat="1" applyFont="1"/>
    <xf numFmtId="166" fontId="0" fillId="0" borderId="0" xfId="0" applyNumberFormat="1"/>
    <xf numFmtId="0" fontId="22" fillId="0" borderId="0" xfId="0" applyFont="1"/>
    <xf numFmtId="166" fontId="15" fillId="0" borderId="0" xfId="0" applyNumberFormat="1" applyFont="1"/>
    <xf numFmtId="166" fontId="14" fillId="0" borderId="0" xfId="0" applyNumberFormat="1" applyFont="1"/>
    <xf numFmtId="166" fontId="14" fillId="0" borderId="0" xfId="1" applyNumberFormat="1" applyFont="1"/>
    <xf numFmtId="166" fontId="14" fillId="0" borderId="0" xfId="0" applyNumberFormat="1" applyFont="1"/>
    <xf numFmtId="166" fontId="14" fillId="0" borderId="0" xfId="0" applyNumberFormat="1" applyFont="1"/>
    <xf numFmtId="166" fontId="14" fillId="0" borderId="0" xfId="0" applyNumberFormat="1" applyFont="1"/>
    <xf numFmtId="169" fontId="44" fillId="0" borderId="0" xfId="0" applyNumberFormat="1" applyFont="1" applyFill="1" applyBorder="1" applyAlignment="1">
      <alignment horizontal="right"/>
    </xf>
    <xf numFmtId="169" fontId="44" fillId="0" borderId="0" xfId="0" applyNumberFormat="1" applyFont="1" applyFill="1" applyBorder="1" applyAlignment="1">
      <alignment wrapText="1"/>
    </xf>
    <xf numFmtId="0" fontId="23" fillId="0" borderId="0" xfId="0" quotePrefix="1" applyFont="1"/>
    <xf numFmtId="0" fontId="22" fillId="0" borderId="0" xfId="0" applyFont="1"/>
    <xf numFmtId="0" fontId="22" fillId="0" borderId="0" xfId="0" applyFont="1" applyAlignment="1">
      <alignment horizontal="left"/>
    </xf>
    <xf numFmtId="165" fontId="22" fillId="0" borderId="0" xfId="1" applyFont="1" applyAlignment="1">
      <alignment horizontal="left"/>
    </xf>
    <xf numFmtId="14" fontId="22" fillId="0" borderId="0" xfId="0" applyNumberFormat="1" applyFont="1" applyAlignment="1">
      <alignment horizontal="left"/>
    </xf>
    <xf numFmtId="166" fontId="16" fillId="0" borderId="0" xfId="1" applyNumberFormat="1" applyFont="1"/>
    <xf numFmtId="0" fontId="49" fillId="0" borderId="0" xfId="0" applyFont="1"/>
    <xf numFmtId="171" fontId="0" fillId="0" borderId="0" xfId="0" applyNumberFormat="1"/>
    <xf numFmtId="0" fontId="44" fillId="0" borderId="0" xfId="0" applyFont="1"/>
    <xf numFmtId="3" fontId="44" fillId="0" borderId="0" xfId="0" applyNumberFormat="1" applyFont="1"/>
    <xf numFmtId="171" fontId="44" fillId="0" borderId="0" xfId="0" applyNumberFormat="1" applyFont="1"/>
    <xf numFmtId="166" fontId="44" fillId="0" borderId="0" xfId="1" applyNumberFormat="1" applyFont="1"/>
    <xf numFmtId="166" fontId="44" fillId="0" borderId="0" xfId="0" applyNumberFormat="1" applyFont="1"/>
    <xf numFmtId="170" fontId="0" fillId="0" borderId="0" xfId="1" applyNumberFormat="1" applyFont="1"/>
    <xf numFmtId="170" fontId="44" fillId="0" borderId="0" xfId="0" applyNumberFormat="1" applyFont="1"/>
    <xf numFmtId="170" fontId="0" fillId="0" borderId="0" xfId="0" applyNumberFormat="1"/>
    <xf numFmtId="0" fontId="0" fillId="0" borderId="0" xfId="0" applyBorder="1"/>
    <xf numFmtId="0" fontId="44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4" fillId="0" borderId="0" xfId="0" applyFont="1" applyFill="1" applyBorder="1" applyAlignment="1">
      <alignment horizontal="right" wrapText="1"/>
    </xf>
    <xf numFmtId="169" fontId="44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2" fillId="0" borderId="0" xfId="0" applyNumberFormat="1" applyFont="1"/>
    <xf numFmtId="0" fontId="22" fillId="0" borderId="0" xfId="0" applyFont="1"/>
    <xf numFmtId="0" fontId="0" fillId="0" borderId="11" xfId="0" applyFont="1" applyBorder="1"/>
    <xf numFmtId="0" fontId="22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2" fillId="0" borderId="11" xfId="0" applyNumberFormat="1" applyFont="1" applyBorder="1"/>
    <xf numFmtId="166" fontId="0" fillId="0" borderId="11" xfId="1" applyNumberFormat="1" applyFont="1" applyBorder="1"/>
    <xf numFmtId="0" fontId="22" fillId="0" borderId="12" xfId="0" applyFont="1" applyBorder="1" applyAlignment="1">
      <alignment horizontal="right"/>
    </xf>
    <xf numFmtId="0" fontId="0" fillId="0" borderId="12" xfId="0" applyFont="1" applyBorder="1"/>
    <xf numFmtId="0" fontId="22" fillId="0" borderId="12" xfId="0" applyFont="1" applyBorder="1"/>
    <xf numFmtId="166" fontId="0" fillId="0" borderId="12" xfId="0" applyNumberFormat="1" applyFont="1" applyBorder="1"/>
    <xf numFmtId="0" fontId="23" fillId="0" borderId="12" xfId="0" applyFont="1" applyFill="1" applyBorder="1"/>
    <xf numFmtId="0" fontId="48" fillId="0" borderId="12" xfId="0" applyFont="1" applyFill="1" applyBorder="1"/>
    <xf numFmtId="0" fontId="25" fillId="0" borderId="12" xfId="0" applyFont="1" applyBorder="1"/>
    <xf numFmtId="0" fontId="19" fillId="0" borderId="12" xfId="0" applyFont="1" applyBorder="1"/>
    <xf numFmtId="0" fontId="19" fillId="0" borderId="12" xfId="0" applyFont="1" applyFill="1" applyBorder="1"/>
    <xf numFmtId="0" fontId="19" fillId="0" borderId="0" xfId="0" applyFont="1"/>
    <xf numFmtId="0" fontId="51" fillId="0" borderId="0" xfId="0" applyFont="1" applyAlignment="1">
      <alignment vertical="center"/>
    </xf>
    <xf numFmtId="14" fontId="0" fillId="0" borderId="0" xfId="0" applyNumberFormat="1" applyFont="1"/>
    <xf numFmtId="166" fontId="27" fillId="0" borderId="0" xfId="1" applyNumberFormat="1" applyFont="1"/>
    <xf numFmtId="166" fontId="27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7" fillId="0" borderId="0" xfId="0" applyNumberFormat="1" applyFont="1"/>
    <xf numFmtId="0" fontId="27" fillId="0" borderId="0" xfId="0" applyFont="1"/>
    <xf numFmtId="3" fontId="0" fillId="0" borderId="12" xfId="0" applyNumberFormat="1" applyFont="1" applyBorder="1"/>
    <xf numFmtId="166" fontId="50" fillId="0" borderId="0" xfId="0" applyNumberFormat="1" applyFont="1"/>
    <xf numFmtId="0" fontId="0" fillId="0" borderId="0" xfId="0" applyFont="1"/>
    <xf numFmtId="0" fontId="22" fillId="33" borderId="0" xfId="0" applyFont="1" applyFill="1"/>
    <xf numFmtId="0" fontId="0" fillId="33" borderId="0" xfId="0" applyFont="1" applyFill="1"/>
    <xf numFmtId="0" fontId="53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2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2" fillId="0" borderId="0" xfId="0" applyFont="1"/>
    <xf numFmtId="0" fontId="22" fillId="35" borderId="0" xfId="0" applyFont="1" applyFill="1"/>
    <xf numFmtId="0" fontId="22" fillId="0" borderId="0" xfId="0" quotePrefix="1" applyFont="1"/>
    <xf numFmtId="16" fontId="23" fillId="0" borderId="0" xfId="0" quotePrefix="1" applyNumberFormat="1" applyFont="1"/>
    <xf numFmtId="16" fontId="22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4" fillId="35" borderId="0" xfId="44" applyFont="1" applyFill="1" applyAlignment="1"/>
    <xf numFmtId="14" fontId="0" fillId="0" borderId="0" xfId="0" applyNumberFormat="1"/>
    <xf numFmtId="0" fontId="0" fillId="0" borderId="0" xfId="0"/>
    <xf numFmtId="0" fontId="22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2" fillId="0" borderId="0" xfId="0" applyNumberFormat="1" applyFont="1"/>
    <xf numFmtId="0" fontId="0" fillId="0" borderId="0" xfId="0" applyFont="1" applyFill="1"/>
    <xf numFmtId="0" fontId="22" fillId="35" borderId="0" xfId="0" applyFont="1" applyFill="1"/>
    <xf numFmtId="0" fontId="54" fillId="35" borderId="0" xfId="0" applyFont="1" applyFill="1"/>
    <xf numFmtId="0" fontId="12" fillId="0" borderId="0" xfId="47" applyFill="1"/>
    <xf numFmtId="0" fontId="54" fillId="0" borderId="0" xfId="47" applyFont="1" applyFill="1" applyAlignment="1"/>
    <xf numFmtId="10" fontId="22" fillId="0" borderId="0" xfId="43" applyNumberFormat="1" applyFont="1"/>
    <xf numFmtId="10" fontId="22" fillId="33" borderId="0" xfId="43" applyNumberFormat="1" applyFont="1" applyFill="1"/>
    <xf numFmtId="166" fontId="22" fillId="33" borderId="0" xfId="1" applyNumberFormat="1" applyFont="1" applyFill="1"/>
    <xf numFmtId="10" fontId="0" fillId="33" borderId="0" xfId="43" applyNumberFormat="1" applyFont="1" applyFill="1"/>
    <xf numFmtId="0" fontId="50" fillId="0" borderId="0" xfId="0" applyNumberFormat="1" applyFont="1"/>
    <xf numFmtId="0" fontId="0" fillId="0" borderId="0" xfId="1" applyNumberFormat="1" applyFont="1"/>
    <xf numFmtId="0" fontId="22" fillId="0" borderId="0" xfId="0" applyNumberFormat="1" applyFont="1"/>
    <xf numFmtId="0" fontId="22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9" fillId="0" borderId="0" xfId="0" applyNumberFormat="1" applyFont="1"/>
    <xf numFmtId="0" fontId="27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2" fillId="34" borderId="12" xfId="0" applyFont="1" applyFill="1" applyBorder="1" applyAlignment="1">
      <alignment horizontal="right" wrapText="1"/>
    </xf>
    <xf numFmtId="165" fontId="50" fillId="34" borderId="0" xfId="1" applyFont="1" applyFill="1"/>
    <xf numFmtId="165" fontId="27" fillId="0" borderId="11" xfId="1" applyFont="1" applyBorder="1"/>
    <xf numFmtId="0" fontId="27" fillId="0" borderId="0" xfId="0" applyFont="1" applyBorder="1"/>
    <xf numFmtId="165" fontId="27" fillId="0" borderId="0" xfId="1" applyFont="1"/>
    <xf numFmtId="165" fontId="27" fillId="0" borderId="0" xfId="1" applyFont="1" applyFill="1"/>
    <xf numFmtId="10" fontId="56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6" fillId="0" borderId="0" xfId="334" applyFill="1"/>
    <xf numFmtId="0" fontId="54" fillId="0" borderId="0" xfId="334" applyFont="1" applyFill="1" applyAlignment="1"/>
    <xf numFmtId="14" fontId="54" fillId="0" borderId="0" xfId="334" applyNumberFormat="1" applyFont="1" applyFill="1" applyAlignment="1"/>
    <xf numFmtId="14" fontId="6" fillId="0" borderId="0" xfId="334" applyNumberFormat="1" applyFill="1"/>
    <xf numFmtId="11" fontId="0" fillId="0" borderId="0" xfId="0" applyNumberFormat="1" applyFont="1"/>
    <xf numFmtId="166" fontId="27" fillId="0" borderId="0" xfId="1" applyNumberFormat="1" applyFont="1" applyFill="1"/>
    <xf numFmtId="0" fontId="50" fillId="34" borderId="14" xfId="0" applyFont="1" applyFill="1" applyBorder="1"/>
    <xf numFmtId="165" fontId="50" fillId="34" borderId="12" xfId="1" applyFont="1" applyFill="1" applyBorder="1" applyAlignment="1">
      <alignment horizontal="left"/>
    </xf>
    <xf numFmtId="17" fontId="27" fillId="0" borderId="0" xfId="0" applyNumberFormat="1" applyFont="1" applyFill="1" applyAlignment="1">
      <alignment horizontal="right"/>
    </xf>
    <xf numFmtId="165" fontId="27" fillId="0" borderId="0" xfId="0" applyNumberFormat="1" applyFont="1" applyFill="1" applyAlignment="1">
      <alignment horizontal="right"/>
    </xf>
    <xf numFmtId="10" fontId="56" fillId="0" borderId="0" xfId="43" applyNumberFormat="1" applyFont="1" applyBorder="1"/>
    <xf numFmtId="166" fontId="50" fillId="0" borderId="0" xfId="1" applyNumberFormat="1" applyFont="1"/>
    <xf numFmtId="0" fontId="50" fillId="34" borderId="0" xfId="0" applyFont="1" applyFill="1" applyAlignment="1"/>
    <xf numFmtId="165" fontId="27" fillId="0" borderId="0" xfId="1" applyNumberFormat="1" applyFont="1"/>
    <xf numFmtId="10" fontId="27" fillId="0" borderId="0" xfId="43" applyNumberFormat="1" applyFont="1" applyBorder="1"/>
    <xf numFmtId="0" fontId="27" fillId="0" borderId="0" xfId="0" applyFont="1" applyFill="1" applyAlignment="1">
      <alignment horizontal="right"/>
    </xf>
    <xf numFmtId="166" fontId="27" fillId="0" borderId="0" xfId="0" applyNumberFormat="1" applyFont="1" applyFill="1" applyAlignment="1">
      <alignment horizontal="right"/>
    </xf>
    <xf numFmtId="166" fontId="27" fillId="0" borderId="0" xfId="1" applyNumberFormat="1" applyFont="1" applyBorder="1"/>
    <xf numFmtId="165" fontId="50" fillId="34" borderId="0" xfId="1" applyFont="1" applyFill="1" applyBorder="1"/>
    <xf numFmtId="0" fontId="0" fillId="0" borderId="0" xfId="0"/>
    <xf numFmtId="0" fontId="22" fillId="0" borderId="0" xfId="0" applyFont="1"/>
    <xf numFmtId="0" fontId="0" fillId="0" borderId="0" xfId="0" applyFont="1"/>
    <xf numFmtId="0" fontId="23" fillId="0" borderId="0" xfId="0" applyFont="1"/>
    <xf numFmtId="0" fontId="18" fillId="0" borderId="0" xfId="0" applyFont="1"/>
    <xf numFmtId="166" fontId="0" fillId="0" borderId="0" xfId="0" applyNumberFormat="1" applyFont="1"/>
    <xf numFmtId="0" fontId="22" fillId="0" borderId="0" xfId="0" applyFont="1" applyAlignment="1">
      <alignment horizontal="right"/>
    </xf>
    <xf numFmtId="0" fontId="22" fillId="0" borderId="0" xfId="0" quotePrefix="1" applyFont="1" applyAlignment="1">
      <alignment horizontal="right"/>
    </xf>
    <xf numFmtId="166" fontId="19" fillId="0" borderId="0" xfId="0" applyNumberFormat="1" applyFont="1"/>
    <xf numFmtId="166" fontId="0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2" fontId="18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6" fillId="0" borderId="0" xfId="586" applyFill="1"/>
    <xf numFmtId="0" fontId="54" fillId="0" borderId="0" xfId="586" applyFont="1" applyFill="1" applyAlignment="1"/>
    <xf numFmtId="11" fontId="0" fillId="0" borderId="0" xfId="0" applyNumberFormat="1" applyFont="1"/>
    <xf numFmtId="0" fontId="22" fillId="0" borderId="0" xfId="0" applyFont="1" applyAlignment="1"/>
    <xf numFmtId="0" fontId="54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21" fillId="0" borderId="0" xfId="0" applyNumberFormat="1" applyFont="1"/>
    <xf numFmtId="166" fontId="22" fillId="0" borderId="0" xfId="0" applyNumberFormat="1" applyFont="1"/>
    <xf numFmtId="166" fontId="14" fillId="0" borderId="0" xfId="0" applyNumberFormat="1" applyFont="1"/>
    <xf numFmtId="0" fontId="6" fillId="0" borderId="0" xfId="586" applyFill="1"/>
    <xf numFmtId="0" fontId="54" fillId="0" borderId="0" xfId="586" applyFont="1" applyFill="1" applyAlignment="1"/>
    <xf numFmtId="165" fontId="14" fillId="0" borderId="0" xfId="46" applyFont="1"/>
    <xf numFmtId="165" fontId="54" fillId="0" borderId="0" xfId="46" applyFont="1" applyFill="1" applyAlignment="1"/>
    <xf numFmtId="165" fontId="6" fillId="0" borderId="0" xfId="46" applyFont="1" applyFill="1"/>
    <xf numFmtId="0" fontId="0" fillId="0" borderId="0" xfId="0"/>
    <xf numFmtId="0" fontId="0" fillId="35" borderId="0" xfId="0" applyFont="1" applyFill="1"/>
    <xf numFmtId="0" fontId="6" fillId="0" borderId="0" xfId="586" applyFill="1"/>
    <xf numFmtId="0" fontId="54" fillId="0" borderId="0" xfId="586" applyFont="1" applyFill="1" applyAlignment="1"/>
    <xf numFmtId="0" fontId="54" fillId="35" borderId="0" xfId="586" applyFont="1" applyFill="1" applyAlignment="1"/>
    <xf numFmtId="11" fontId="6" fillId="0" borderId="0" xfId="586" applyNumberFormat="1" applyFill="1"/>
    <xf numFmtId="0" fontId="0" fillId="0" borderId="0" xfId="0"/>
    <xf numFmtId="0" fontId="22" fillId="0" borderId="0" xfId="0" applyFont="1"/>
    <xf numFmtId="0" fontId="0" fillId="0" borderId="0" xfId="0" applyFont="1"/>
    <xf numFmtId="0" fontId="27" fillId="0" borderId="0" xfId="0" applyFont="1"/>
    <xf numFmtId="166" fontId="27" fillId="0" borderId="0" xfId="0" applyNumberFormat="1" applyFont="1"/>
    <xf numFmtId="166" fontId="50" fillId="0" borderId="0" xfId="0" applyNumberFormat="1" applyFont="1"/>
    <xf numFmtId="0" fontId="6" fillId="0" borderId="0" xfId="0" applyFont="1"/>
    <xf numFmtId="0" fontId="54" fillId="35" borderId="0" xfId="586" applyFont="1" applyFill="1" applyAlignment="1"/>
    <xf numFmtId="0" fontId="6" fillId="0" borderId="0" xfId="586" applyFill="1"/>
    <xf numFmtId="0" fontId="54" fillId="0" borderId="0" xfId="586" applyFont="1" applyFill="1" applyAlignment="1"/>
    <xf numFmtId="0" fontId="0" fillId="0" borderId="0" xfId="0" applyFont="1" applyFill="1"/>
    <xf numFmtId="0" fontId="54" fillId="35" borderId="0" xfId="0" applyFont="1" applyFill="1"/>
    <xf numFmtId="166" fontId="54" fillId="0" borderId="0" xfId="335" applyNumberFormat="1" applyFont="1" applyFill="1" applyAlignment="1"/>
    <xf numFmtId="166" fontId="6" fillId="0" borderId="0" xfId="335" applyNumberFormat="1" applyFont="1" applyFill="1"/>
    <xf numFmtId="0" fontId="55" fillId="35" borderId="0" xfId="0" applyFont="1" applyFill="1"/>
    <xf numFmtId="0" fontId="55" fillId="35" borderId="0" xfId="586" applyFont="1" applyFill="1" applyAlignment="1"/>
    <xf numFmtId="0" fontId="54" fillId="35" borderId="0" xfId="587" applyFont="1" applyFill="1" applyAlignment="1"/>
    <xf numFmtId="0" fontId="0" fillId="0" borderId="0" xfId="0" applyNumberFormat="1" applyFont="1"/>
    <xf numFmtId="0" fontId="6" fillId="0" borderId="0" xfId="587" applyFill="1"/>
    <xf numFmtId="0" fontId="54" fillId="0" borderId="0" xfId="587" applyFont="1" applyFill="1" applyAlignment="1"/>
    <xf numFmtId="0" fontId="6" fillId="0" borderId="0" xfId="581" applyFill="1"/>
    <xf numFmtId="0" fontId="54" fillId="0" borderId="0" xfId="581" applyFont="1" applyFill="1" applyAlignment="1"/>
    <xf numFmtId="0" fontId="54" fillId="35" borderId="0" xfId="581" applyFont="1" applyFill="1" applyAlignment="1"/>
    <xf numFmtId="166" fontId="54" fillId="0" borderId="0" xfId="573" applyNumberFormat="1" applyFont="1" applyFill="1" applyAlignment="1"/>
    <xf numFmtId="166" fontId="6" fillId="0" borderId="0" xfId="573" applyNumberFormat="1" applyFont="1" applyFill="1"/>
    <xf numFmtId="166" fontId="54" fillId="0" borderId="0" xfId="46" applyNumberFormat="1" applyFont="1" applyFill="1" applyAlignment="1"/>
    <xf numFmtId="166" fontId="6" fillId="0" borderId="0" xfId="46" applyNumberFormat="1" applyFont="1" applyFill="1"/>
    <xf numFmtId="165" fontId="6" fillId="0" borderId="0" xfId="573" applyNumberFormat="1" applyFont="1" applyFill="1"/>
    <xf numFmtId="165" fontId="54" fillId="0" borderId="0" xfId="573" applyFont="1" applyFill="1" applyAlignment="1"/>
    <xf numFmtId="165" fontId="6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7" fillId="0" borderId="12" xfId="0" applyFont="1" applyBorder="1"/>
    <xf numFmtId="0" fontId="50" fillId="0" borderId="12" xfId="0" applyFont="1" applyBorder="1"/>
    <xf numFmtId="0" fontId="50" fillId="34" borderId="0" xfId="0" applyFont="1" applyFill="1" applyAlignment="1">
      <alignment horizontal="right"/>
    </xf>
    <xf numFmtId="0" fontId="50" fillId="34" borderId="0" xfId="0" applyFont="1" applyFill="1"/>
    <xf numFmtId="0" fontId="50" fillId="34" borderId="12" xfId="0" quotePrefix="1" applyFont="1" applyFill="1" applyBorder="1" applyAlignment="1">
      <alignment horizontal="right"/>
    </xf>
    <xf numFmtId="0" fontId="50" fillId="34" borderId="12" xfId="0" quotePrefix="1" applyNumberFormat="1" applyFont="1" applyFill="1" applyBorder="1" applyAlignment="1">
      <alignment horizontal="right"/>
    </xf>
    <xf numFmtId="0" fontId="50" fillId="34" borderId="12" xfId="0" applyFont="1" applyFill="1" applyBorder="1" applyAlignment="1">
      <alignment horizontal="right"/>
    </xf>
    <xf numFmtId="0" fontId="50" fillId="34" borderId="12" xfId="0" applyNumberFormat="1" applyFont="1" applyFill="1" applyBorder="1" applyAlignment="1">
      <alignment horizontal="right"/>
    </xf>
    <xf numFmtId="10" fontId="27" fillId="0" borderId="0" xfId="43" applyNumberFormat="1" applyFont="1"/>
    <xf numFmtId="166" fontId="27" fillId="0" borderId="0" xfId="0" applyNumberFormat="1" applyFont="1" applyFill="1"/>
    <xf numFmtId="0" fontId="50" fillId="0" borderId="0" xfId="0" applyFont="1"/>
    <xf numFmtId="0" fontId="27" fillId="0" borderId="11" xfId="0" applyFont="1" applyBorder="1"/>
    <xf numFmtId="166" fontId="27" fillId="0" borderId="11" xfId="0" applyNumberFormat="1" applyFont="1" applyBorder="1"/>
    <xf numFmtId="10" fontId="27" fillId="0" borderId="11" xfId="43" applyNumberFormat="1" applyFont="1" applyBorder="1"/>
    <xf numFmtId="166" fontId="27" fillId="34" borderId="0" xfId="0" applyNumberFormat="1" applyFont="1" applyFill="1"/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/>
    <xf numFmtId="166" fontId="27" fillId="0" borderId="0" xfId="0" applyNumberFormat="1" applyFont="1" applyAlignment="1">
      <alignment horizontal="right"/>
    </xf>
    <xf numFmtId="0" fontId="50" fillId="0" borderId="11" xfId="0" applyFont="1" applyBorder="1"/>
    <xf numFmtId="166" fontId="50" fillId="0" borderId="11" xfId="0" applyNumberFormat="1" applyFont="1" applyBorder="1"/>
    <xf numFmtId="166" fontId="50" fillId="0" borderId="11" xfId="0" applyNumberFormat="1" applyFont="1" applyFill="1" applyBorder="1"/>
    <xf numFmtId="0" fontId="57" fillId="34" borderId="0" xfId="0" applyFont="1" applyFill="1"/>
    <xf numFmtId="0" fontId="57" fillId="34" borderId="0" xfId="0" applyFont="1" applyFill="1" applyAlignment="1">
      <alignment horizontal="right"/>
    </xf>
    <xf numFmtId="0" fontId="57" fillId="34" borderId="12" xfId="0" applyFont="1" applyFill="1" applyBorder="1"/>
    <xf numFmtId="0" fontId="57" fillId="0" borderId="0" xfId="0" applyFont="1" applyFill="1"/>
    <xf numFmtId="0" fontId="58" fillId="0" borderId="0" xfId="0" applyFont="1" applyFill="1"/>
    <xf numFmtId="0" fontId="27" fillId="0" borderId="0" xfId="0" applyFont="1" applyFill="1"/>
    <xf numFmtId="166" fontId="59" fillId="0" borderId="0" xfId="0" applyNumberFormat="1" applyFont="1" applyFill="1"/>
    <xf numFmtId="166" fontId="57" fillId="0" borderId="0" xfId="0" applyNumberFormat="1" applyFont="1" applyFill="1"/>
    <xf numFmtId="0" fontId="50" fillId="0" borderId="0" xfId="0" applyFont="1" applyFill="1"/>
    <xf numFmtId="0" fontId="27" fillId="0" borderId="11" xfId="0" applyFont="1" applyFill="1" applyBorder="1"/>
    <xf numFmtId="0" fontId="27" fillId="34" borderId="0" xfId="0" applyFont="1" applyFill="1"/>
    <xf numFmtId="0" fontId="57" fillId="0" borderId="11" xfId="0" applyFont="1" applyFill="1" applyBorder="1"/>
    <xf numFmtId="0" fontId="50" fillId="0" borderId="0" xfId="0" applyFont="1" applyAlignment="1">
      <alignment horizontal="right"/>
    </xf>
    <xf numFmtId="166" fontId="27" fillId="0" borderId="0" xfId="0" applyNumberFormat="1" applyFont="1" applyFill="1" applyAlignment="1"/>
    <xf numFmtId="0" fontId="60" fillId="0" borderId="0" xfId="0" applyFont="1"/>
    <xf numFmtId="166" fontId="61" fillId="0" borderId="0" xfId="0" applyNumberFormat="1" applyFont="1"/>
    <xf numFmtId="166" fontId="58" fillId="0" borderId="0" xfId="0" applyNumberFormat="1" applyFont="1"/>
    <xf numFmtId="0" fontId="50" fillId="0" borderId="0" xfId="0" quotePrefix="1" applyFont="1" applyAlignment="1">
      <alignment horizontal="right"/>
    </xf>
    <xf numFmtId="0" fontId="57" fillId="0" borderId="0" xfId="0" applyFont="1" applyAlignment="1">
      <alignment horizontal="right"/>
    </xf>
    <xf numFmtId="0" fontId="50" fillId="34" borderId="15" xfId="0" applyFont="1" applyFill="1" applyBorder="1"/>
    <xf numFmtId="17" fontId="50" fillId="34" borderId="12" xfId="0" quotePrefix="1" applyNumberFormat="1" applyFont="1" applyFill="1" applyBorder="1" applyAlignment="1">
      <alignment horizontal="right"/>
    </xf>
    <xf numFmtId="0" fontId="50" fillId="34" borderId="16" xfId="0" applyFont="1" applyFill="1" applyBorder="1" applyAlignment="1">
      <alignment horizontal="right"/>
    </xf>
    <xf numFmtId="166" fontId="56" fillId="0" borderId="0" xfId="0" applyNumberFormat="1" applyFont="1"/>
    <xf numFmtId="3" fontId="50" fillId="34" borderId="0" xfId="0" applyNumberFormat="1" applyFont="1" applyFill="1"/>
    <xf numFmtId="9" fontId="27" fillId="0" borderId="0" xfId="0" applyNumberFormat="1" applyFont="1"/>
    <xf numFmtId="10" fontId="50" fillId="0" borderId="0" xfId="43" applyNumberFormat="1" applyFont="1"/>
    <xf numFmtId="167" fontId="50" fillId="0" borderId="0" xfId="0" applyNumberFormat="1" applyFont="1"/>
    <xf numFmtId="0" fontId="50" fillId="34" borderId="0" xfId="0" applyFont="1" applyFill="1" applyBorder="1"/>
    <xf numFmtId="0" fontId="27" fillId="34" borderId="0" xfId="0" applyFont="1" applyFill="1" applyBorder="1"/>
    <xf numFmtId="0" fontId="27" fillId="34" borderId="12" xfId="0" applyFont="1" applyFill="1" applyBorder="1"/>
    <xf numFmtId="0" fontId="50" fillId="34" borderId="12" xfId="0" applyFont="1" applyFill="1" applyBorder="1" applyAlignment="1">
      <alignment horizontal="left"/>
    </xf>
    <xf numFmtId="0" fontId="50" fillId="33" borderId="0" xfId="0" applyFont="1" applyFill="1"/>
    <xf numFmtId="14" fontId="27" fillId="0" borderId="0" xfId="0" applyNumberFormat="1" applyFont="1" applyAlignment="1">
      <alignment horizontal="right"/>
    </xf>
    <xf numFmtId="10" fontId="27" fillId="0" borderId="0" xfId="43" applyNumberFormat="1" applyFont="1" applyFill="1"/>
    <xf numFmtId="14" fontId="27" fillId="0" borderId="0" xfId="0" applyNumberFormat="1" applyFont="1" applyFill="1" applyAlignment="1">
      <alignment horizontal="right"/>
    </xf>
    <xf numFmtId="14" fontId="27" fillId="0" borderId="11" xfId="0" applyNumberFormat="1" applyFont="1" applyBorder="1" applyAlignment="1">
      <alignment horizontal="right"/>
    </xf>
    <xf numFmtId="166" fontId="50" fillId="34" borderId="0" xfId="0" applyNumberFormat="1" applyFont="1" applyFill="1"/>
    <xf numFmtId="166" fontId="60" fillId="34" borderId="12" xfId="0" quotePrefix="1" applyNumberFormat="1" applyFont="1" applyFill="1" applyBorder="1" applyAlignment="1">
      <alignment horizontal="right"/>
    </xf>
    <xf numFmtId="0" fontId="62" fillId="0" borderId="0" xfId="0" applyFont="1"/>
    <xf numFmtId="10" fontId="50" fillId="33" borderId="0" xfId="43" applyNumberFormat="1" applyFont="1" applyFill="1"/>
    <xf numFmtId="169" fontId="50" fillId="34" borderId="12" xfId="0" applyNumberFormat="1" applyFont="1" applyFill="1" applyBorder="1" applyAlignment="1">
      <alignment horizontal="right"/>
    </xf>
    <xf numFmtId="169" fontId="50" fillId="34" borderId="12" xfId="0" applyNumberFormat="1" applyFont="1" applyFill="1" applyBorder="1" applyAlignment="1">
      <alignment horizontal="right" wrapText="1"/>
    </xf>
    <xf numFmtId="0" fontId="27" fillId="33" borderId="0" xfId="0" applyFont="1" applyFill="1"/>
    <xf numFmtId="3" fontId="6" fillId="35" borderId="0" xfId="586" applyNumberFormat="1" applyFill="1"/>
    <xf numFmtId="166" fontId="27" fillId="0" borderId="0" xfId="0" applyNumberFormat="1" applyFont="1" applyFill="1" applyBorder="1" applyAlignment="1">
      <alignment horizontal="right"/>
    </xf>
    <xf numFmtId="166" fontId="5" fillId="0" borderId="0" xfId="982" applyNumberFormat="1" applyFont="1" applyFill="1"/>
    <xf numFmtId="0" fontId="54" fillId="0" borderId="0" xfId="1100" applyFont="1" applyFill="1" applyAlignment="1"/>
    <xf numFmtId="0" fontId="5" fillId="0" borderId="0" xfId="1100" applyFill="1"/>
    <xf numFmtId="0" fontId="54" fillId="0" borderId="0" xfId="1100" applyFont="1" applyFill="1" applyAlignment="1"/>
    <xf numFmtId="166" fontId="5" fillId="0" borderId="0" xfId="982" applyNumberFormat="1" applyFont="1" applyFill="1"/>
    <xf numFmtId="0" fontId="5" fillId="0" borderId="0" xfId="1100" applyFill="1"/>
    <xf numFmtId="0" fontId="5" fillId="0" borderId="0" xfId="1100" applyFill="1"/>
    <xf numFmtId="166" fontId="5" fillId="0" borderId="0" xfId="982" applyNumberFormat="1" applyFont="1" applyFill="1"/>
    <xf numFmtId="0" fontId="54" fillId="0" borderId="0" xfId="1100" applyFont="1" applyFill="1" applyAlignment="1"/>
    <xf numFmtId="0" fontId="0" fillId="0" borderId="0" xfId="0"/>
    <xf numFmtId="0" fontId="22" fillId="35" borderId="0" xfId="0" applyFont="1" applyFill="1"/>
    <xf numFmtId="0" fontId="54" fillId="0" borderId="0" xfId="1095" applyFont="1" applyFill="1" applyAlignment="1"/>
    <xf numFmtId="0" fontId="54" fillId="35" borderId="0" xfId="1095" applyFont="1" applyFill="1" applyAlignment="1"/>
    <xf numFmtId="166" fontId="5" fillId="0" borderId="0" xfId="1087" applyNumberFormat="1" applyFont="1" applyFill="1"/>
    <xf numFmtId="165" fontId="5" fillId="0" borderId="0" xfId="1087" applyNumberFormat="1" applyFont="1" applyFill="1"/>
    <xf numFmtId="166" fontId="27" fillId="0" borderId="0" xfId="0" applyNumberFormat="1" applyFont="1" applyFill="1"/>
    <xf numFmtId="166" fontId="50" fillId="0" borderId="0" xfId="0" applyNumberFormat="1" applyFont="1" applyFill="1"/>
    <xf numFmtId="10" fontId="27" fillId="0" borderId="0" xfId="43" applyNumberFormat="1" applyFont="1" applyFill="1"/>
    <xf numFmtId="10" fontId="50" fillId="0" borderId="0" xfId="43" applyNumberFormat="1" applyFont="1" applyFill="1"/>
    <xf numFmtId="0" fontId="4" fillId="0" borderId="0" xfId="0" applyFont="1"/>
    <xf numFmtId="166" fontId="27" fillId="0" borderId="0" xfId="0" applyNumberFormat="1" applyFont="1"/>
    <xf numFmtId="166" fontId="50" fillId="0" borderId="0" xfId="0" applyNumberFormat="1" applyFont="1"/>
    <xf numFmtId="166" fontId="27" fillId="0" borderId="0" xfId="0" applyNumberFormat="1" applyFont="1" applyFill="1" applyAlignment="1">
      <alignment horizontal="right"/>
    </xf>
    <xf numFmtId="166" fontId="27" fillId="0" borderId="0" xfId="0" applyNumberFormat="1" applyFont="1" applyFill="1"/>
    <xf numFmtId="166" fontId="27" fillId="0" borderId="11" xfId="0" applyNumberFormat="1" applyFont="1" applyFill="1" applyBorder="1"/>
    <xf numFmtId="166" fontId="50" fillId="0" borderId="11" xfId="0" applyNumberFormat="1" applyFont="1" applyBorder="1"/>
    <xf numFmtId="167" fontId="27" fillId="0" borderId="0" xfId="0" applyNumberFormat="1" applyFont="1" applyAlignment="1">
      <alignment horizontal="right"/>
    </xf>
    <xf numFmtId="167" fontId="50" fillId="0" borderId="0" xfId="0" applyNumberFormat="1" applyFont="1"/>
    <xf numFmtId="14" fontId="27" fillId="0" borderId="0" xfId="0" applyNumberFormat="1" applyFont="1" applyFill="1" applyAlignment="1">
      <alignment horizontal="right"/>
    </xf>
    <xf numFmtId="166" fontId="50" fillId="0" borderId="0" xfId="0" applyNumberFormat="1" applyFont="1" applyFill="1"/>
    <xf numFmtId="164" fontId="0" fillId="0" borderId="0" xfId="0" applyNumberFormat="1" applyFont="1"/>
    <xf numFmtId="0" fontId="54" fillId="36" borderId="17" xfId="0" applyFont="1" applyFill="1" applyBorder="1"/>
    <xf numFmtId="43" fontId="54" fillId="36" borderId="17" xfId="1" applyNumberFormat="1" applyFont="1" applyFill="1" applyBorder="1"/>
    <xf numFmtId="0" fontId="54" fillId="0" borderId="17" xfId="0" applyFont="1" applyBorder="1" applyAlignment="1">
      <alignment horizontal="left"/>
    </xf>
    <xf numFmtId="43" fontId="54" fillId="0" borderId="17" xfId="1" applyNumberFormat="1" applyFont="1" applyBorder="1"/>
    <xf numFmtId="0" fontId="0" fillId="0" borderId="0" xfId="0" applyAlignment="1">
      <alignment horizontal="left" indent="1"/>
    </xf>
    <xf numFmtId="168" fontId="2" fillId="0" borderId="0" xfId="1" applyNumberFormat="1" applyFont="1"/>
    <xf numFmtId="166" fontId="2" fillId="0" borderId="0" xfId="0" applyNumberFormat="1" applyFont="1"/>
    <xf numFmtId="166" fontId="2" fillId="0" borderId="0" xfId="2148" applyNumberFormat="1" applyFont="1"/>
    <xf numFmtId="0" fontId="2" fillId="0" borderId="0" xfId="2147" applyAlignment="1">
      <alignment horizontal="left" indent="1"/>
    </xf>
    <xf numFmtId="166" fontId="2" fillId="0" borderId="0" xfId="2147" applyNumberFormat="1"/>
    <xf numFmtId="0" fontId="2" fillId="0" borderId="0" xfId="2147" applyAlignment="1">
      <alignment horizontal="left"/>
    </xf>
    <xf numFmtId="0" fontId="2" fillId="0" borderId="0" xfId="2147" applyAlignment="1">
      <alignment horizontal="left" indent="1"/>
    </xf>
    <xf numFmtId="166" fontId="2" fillId="0" borderId="0" xfId="2147" applyNumberFormat="1"/>
    <xf numFmtId="166" fontId="2" fillId="0" borderId="0" xfId="2147" applyNumberFormat="1"/>
    <xf numFmtId="0" fontId="2" fillId="0" borderId="0" xfId="2147" applyAlignment="1">
      <alignment horizontal="left"/>
    </xf>
    <xf numFmtId="0" fontId="2" fillId="0" borderId="0" xfId="2147" applyAlignment="1">
      <alignment horizontal="left" indent="1"/>
    </xf>
    <xf numFmtId="0" fontId="1" fillId="0" borderId="0" xfId="2147" applyFont="1" applyAlignment="1">
      <alignment horizontal="left" indent="1"/>
    </xf>
    <xf numFmtId="172" fontId="76" fillId="37" borderId="18" xfId="0" applyNumberFormat="1" applyFont="1" applyFill="1" applyBorder="1" applyAlignment="1">
      <alignment horizontal="right" vertical="top" wrapText="1" readingOrder="1"/>
    </xf>
    <xf numFmtId="173" fontId="76" fillId="37" borderId="18" xfId="0" applyNumberFormat="1" applyFont="1" applyFill="1" applyBorder="1" applyAlignment="1">
      <alignment horizontal="right" vertical="top" wrapText="1" readingOrder="1"/>
    </xf>
    <xf numFmtId="172" fontId="76" fillId="37" borderId="19" xfId="0" applyNumberFormat="1" applyFont="1" applyFill="1" applyBorder="1" applyAlignment="1">
      <alignment horizontal="right" vertical="top" wrapText="1" readingOrder="1"/>
    </xf>
    <xf numFmtId="173" fontId="76" fillId="37" borderId="19" xfId="0" applyNumberFormat="1" applyFont="1" applyFill="1" applyBorder="1" applyAlignment="1">
      <alignment horizontal="right" vertical="top" wrapText="1" readingOrder="1"/>
    </xf>
    <xf numFmtId="0" fontId="75" fillId="37" borderId="18" xfId="0" applyNumberFormat="1" applyFont="1" applyFill="1" applyBorder="1" applyAlignment="1">
      <alignment vertical="top" wrapText="1" readingOrder="1"/>
    </xf>
    <xf numFmtId="0" fontId="75" fillId="37" borderId="19" xfId="0" applyNumberFormat="1" applyFont="1" applyFill="1" applyBorder="1" applyAlignment="1">
      <alignment vertical="top" wrapText="1" readingOrder="1"/>
    </xf>
    <xf numFmtId="0" fontId="51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2" fillId="0" borderId="0" xfId="1" applyNumberFormat="1" applyFont="1" applyAlignment="1">
      <alignment horizontal="center"/>
    </xf>
    <xf numFmtId="166" fontId="27" fillId="0" borderId="0" xfId="0" applyNumberFormat="1" applyFont="1" applyAlignment="1">
      <alignment horizontal="center"/>
    </xf>
    <xf numFmtId="166" fontId="50" fillId="0" borderId="0" xfId="0" applyNumberFormat="1" applyFont="1" applyAlignment="1">
      <alignment horizontal="center"/>
    </xf>
    <xf numFmtId="166" fontId="60" fillId="34" borderId="14" xfId="0" quotePrefix="1" applyNumberFormat="1" applyFont="1" applyFill="1" applyBorder="1" applyAlignment="1">
      <alignment horizontal="right"/>
    </xf>
    <xf numFmtId="166" fontId="60" fillId="34" borderId="0" xfId="0" quotePrefix="1" applyNumberFormat="1" applyFont="1" applyFill="1" applyBorder="1" applyAlignment="1">
      <alignment horizontal="right"/>
    </xf>
    <xf numFmtId="166" fontId="60" fillId="34" borderId="12" xfId="0" quotePrefix="1" applyNumberFormat="1" applyFont="1" applyFill="1" applyBorder="1" applyAlignment="1">
      <alignment horizontal="right"/>
    </xf>
    <xf numFmtId="0" fontId="50" fillId="34" borderId="13" xfId="0" applyFont="1" applyFill="1" applyBorder="1" applyAlignment="1">
      <alignment horizontal="right"/>
    </xf>
    <xf numFmtId="0" fontId="52" fillId="34" borderId="0" xfId="0" applyFont="1" applyFill="1" applyBorder="1" applyAlignment="1">
      <alignment horizontal="center" vertical="center"/>
    </xf>
    <xf numFmtId="0" fontId="52" fillId="34" borderId="12" xfId="0" applyFont="1" applyFill="1" applyBorder="1" applyAlignment="1">
      <alignment horizontal="center" vertical="center"/>
    </xf>
    <xf numFmtId="166" fontId="27" fillId="0" borderId="0" xfId="0" applyNumberFormat="1" applyFont="1" applyFill="1" applyAlignment="1">
      <alignment horizontal="center"/>
    </xf>
    <xf numFmtId="0" fontId="50" fillId="34" borderId="13" xfId="0" applyFont="1" applyFill="1" applyBorder="1" applyAlignment="1">
      <alignment horizontal="center"/>
    </xf>
    <xf numFmtId="0" fontId="51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65" fontId="50" fillId="34" borderId="0" xfId="1" applyFont="1" applyFill="1" applyBorder="1" applyAlignment="1">
      <alignment horizontal="right" wrapText="1"/>
    </xf>
    <xf numFmtId="165" fontId="50" fillId="34" borderId="12" xfId="1" applyFont="1" applyFill="1" applyBorder="1" applyAlignment="1">
      <alignment horizontal="right" wrapText="1"/>
    </xf>
    <xf numFmtId="0" fontId="50" fillId="0" borderId="0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34" borderId="14" xfId="0" applyFont="1" applyFill="1" applyBorder="1" applyAlignment="1">
      <alignment horizontal="center"/>
    </xf>
    <xf numFmtId="0" fontId="50" fillId="34" borderId="0" xfId="0" applyFont="1" applyFill="1" applyBorder="1" applyAlignment="1">
      <alignment horizontal="right" wrapText="1"/>
    </xf>
    <xf numFmtId="0" fontId="50" fillId="34" borderId="12" xfId="0" applyFont="1" applyFill="1" applyBorder="1" applyAlignment="1">
      <alignment horizontal="right" wrapText="1"/>
    </xf>
    <xf numFmtId="14" fontId="50" fillId="34" borderId="0" xfId="0" applyNumberFormat="1" applyFont="1" applyFill="1" applyBorder="1" applyAlignment="1">
      <alignment horizontal="right" wrapText="1"/>
    </xf>
    <xf numFmtId="14" fontId="50" fillId="34" borderId="12" xfId="0" applyNumberFormat="1" applyFont="1" applyFill="1" applyBorder="1" applyAlignment="1">
      <alignment horizontal="right" wrapText="1"/>
    </xf>
    <xf numFmtId="0" fontId="22" fillId="0" borderId="10" xfId="0" applyFont="1" applyBorder="1" applyAlignment="1">
      <alignment horizontal="center"/>
    </xf>
    <xf numFmtId="166" fontId="56" fillId="0" borderId="0" xfId="0" applyNumberFormat="1" applyFont="1" applyAlignment="1">
      <alignment horizontal="center"/>
    </xf>
  </cellXfs>
  <cellStyles count="2188">
    <cellStyle name="20% - Accent1" xfId="20" builtinId="30" hidden="1" customBuiltin="1"/>
    <cellStyle name="20% - Accent1" xfId="2163" builtinId="30" customBuiltin="1"/>
    <cellStyle name="20% - Accent2" xfId="24" builtinId="34" customBuiltin="1"/>
    <cellStyle name="20% - Accent2 2" xfId="2167"/>
    <cellStyle name="20% - Accent3" xfId="28" builtinId="38" customBuiltin="1"/>
    <cellStyle name="20% - Accent3 2" xfId="2171"/>
    <cellStyle name="20% - Accent4" xfId="32" builtinId="42" customBuiltin="1"/>
    <cellStyle name="20% - Accent4 2" xfId="2175"/>
    <cellStyle name="20% - Accent5" xfId="36" builtinId="46" customBuiltin="1"/>
    <cellStyle name="20% - Accent5 2" xfId="2179"/>
    <cellStyle name="20% - Accent6" xfId="40" builtinId="50" customBuiltin="1"/>
    <cellStyle name="20% - Accent6 2" xfId="2183"/>
    <cellStyle name="40% - Accent1" xfId="21" builtinId="31" customBuiltin="1"/>
    <cellStyle name="40% - Accent1 2" xfId="2164"/>
    <cellStyle name="40% - Accent2" xfId="25" builtinId="35" customBuiltin="1"/>
    <cellStyle name="40% - Accent2 2" xfId="2168"/>
    <cellStyle name="40% - Accent3" xfId="29" builtinId="39" customBuiltin="1"/>
    <cellStyle name="40% - Accent3 2" xfId="2172"/>
    <cellStyle name="40% - Accent4" xfId="33" builtinId="43" customBuiltin="1"/>
    <cellStyle name="40% - Accent4 2" xfId="2176"/>
    <cellStyle name="40% - Accent5" xfId="37" builtinId="47" customBuiltin="1"/>
    <cellStyle name="40% - Accent5 2" xfId="2180"/>
    <cellStyle name="40% - Accent6" xfId="41" builtinId="51" customBuiltin="1"/>
    <cellStyle name="40% - Accent6 2" xfId="2184"/>
    <cellStyle name="60% - Accent1" xfId="22" builtinId="32" customBuiltin="1"/>
    <cellStyle name="60% - Accent1 2" xfId="2165"/>
    <cellStyle name="60% - Accent2" xfId="26" builtinId="36" customBuiltin="1"/>
    <cellStyle name="60% - Accent2 2" xfId="2169"/>
    <cellStyle name="60% - Accent3" xfId="30" builtinId="40" customBuiltin="1"/>
    <cellStyle name="60% - Accent3 2" xfId="2173"/>
    <cellStyle name="60% - Accent4" xfId="34" builtinId="44" customBuiltin="1"/>
    <cellStyle name="60% - Accent4 2" xfId="2177"/>
    <cellStyle name="60% - Accent5" xfId="38" builtinId="48" customBuiltin="1"/>
    <cellStyle name="60% - Accent5 2" xfId="2181"/>
    <cellStyle name="60% - Accent6" xfId="42" builtinId="52" customBuiltin="1"/>
    <cellStyle name="60% - Accent6 2" xfId="2185"/>
    <cellStyle name="Accent1" xfId="19" builtinId="29" customBuiltin="1"/>
    <cellStyle name="Accent1 2" xfId="2162"/>
    <cellStyle name="Accent2" xfId="23" builtinId="33" customBuiltin="1"/>
    <cellStyle name="Accent2 2" xfId="2166"/>
    <cellStyle name="Accent3" xfId="27" builtinId="37" customBuiltin="1"/>
    <cellStyle name="Accent3 2" xfId="2170"/>
    <cellStyle name="Accent4" xfId="31" builtinId="41" customBuiltin="1"/>
    <cellStyle name="Accent4 2" xfId="2174"/>
    <cellStyle name="Accent5" xfId="35" builtinId="45" customBuiltin="1"/>
    <cellStyle name="Accent5 2" xfId="2178"/>
    <cellStyle name="Accent6" xfId="39" builtinId="49" customBuiltin="1"/>
    <cellStyle name="Accent6 2" xfId="2182"/>
    <cellStyle name="Bad" xfId="8" builtinId="27" customBuiltin="1"/>
    <cellStyle name="Bad 2" xfId="2151"/>
    <cellStyle name="Calculation" xfId="12" builtinId="22" customBuiltin="1"/>
    <cellStyle name="Calculation 2" xfId="2155"/>
    <cellStyle name="Check Cell" xfId="14" builtinId="23" customBuiltin="1"/>
    <cellStyle name="Check Cell 2" xfId="2157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13" xfId="2148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14" xfId="2186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3 9" xfId="2187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Explanatory Text 2" xfId="2160"/>
    <cellStyle name="Good" xfId="7" builtinId="26" customBuiltin="1"/>
    <cellStyle name="Good 2" xfId="2150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Input 2" xfId="2153"/>
    <cellStyle name="Linked Cell" xfId="13" builtinId="24" customBuiltin="1"/>
    <cellStyle name="Linked Cell 2" xfId="2156"/>
    <cellStyle name="Neutral" xfId="9" builtinId="28" customBuiltin="1"/>
    <cellStyle name="Neutral 2" xfId="2152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rmal 7" xfId="2147"/>
    <cellStyle name="Note" xfId="16" builtinId="10" customBuiltin="1"/>
    <cellStyle name="Note 2" xfId="2159"/>
    <cellStyle name="Output" xfId="11" builtinId="21" customBuiltin="1"/>
    <cellStyle name="Output 2" xfId="2154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itle 2" xfId="2149"/>
    <cellStyle name="Total" xfId="18" builtinId="25" customBuiltin="1"/>
    <cellStyle name="Total 2" xfId="2161"/>
    <cellStyle name="Warning Text" xfId="15" builtinId="11" customBuiltin="1"/>
    <cellStyle name="Warning Text 2" xfId="215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topLeftCell="A390" zoomScaleNormal="100" workbookViewId="0">
      <selection activeCell="J422" sqref="J422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43585</v>
      </c>
    </row>
    <row r="7" spans="1:12" x14ac:dyDescent="0.2">
      <c r="A7" s="107" t="str">
        <f>"Market Profile - "&amp; TEXT($H$3,"MMM")&amp;" "&amp;TEXT($H$3,"YYYY")</f>
        <v>Market Profile - Apr 2019</v>
      </c>
    </row>
    <row r="8" spans="1:12" x14ac:dyDescent="0.2">
      <c r="A8" s="107"/>
      <c r="G8" s="398" t="s">
        <v>199</v>
      </c>
      <c r="H8" s="398"/>
      <c r="I8" s="398"/>
    </row>
    <row r="9" spans="1:12" x14ac:dyDescent="0.2">
      <c r="A9" s="107"/>
      <c r="G9" s="398"/>
      <c r="H9" s="398"/>
      <c r="I9" s="398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407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407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408"/>
      <c r="B15" s="282" t="str">
        <f>TEXT($H$3,"MMM")&amp;" "&amp;TEXT($H$3,"YYYY")</f>
        <v>Apr 2019</v>
      </c>
      <c r="C15" s="282" t="str">
        <f>TEXT($H$3,"YYYY")</f>
        <v>2019</v>
      </c>
      <c r="D15" s="283">
        <f>TEXT($H$3,"YYYY")-1</f>
        <v>2018</v>
      </c>
      <c r="E15" s="284" t="s">
        <v>6</v>
      </c>
      <c r="F15" s="285">
        <f>TEXT($H$3,"YYYY")-1</f>
        <v>2018</v>
      </c>
      <c r="G15" s="285">
        <f>TEXT($H$3,"YYYY")-2</f>
        <v>2017</v>
      </c>
      <c r="H15" s="285">
        <f>TEXT($H$3,"YYYY")-3</f>
        <v>2016</v>
      </c>
      <c r="I15" s="285">
        <f>TEXT($H$3,"YYYY")-4</f>
        <v>2015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5154249</v>
      </c>
      <c r="C16" s="127">
        <f>Data!D5</f>
        <v>22995953</v>
      </c>
      <c r="D16" s="249">
        <f>Data!D8</f>
        <v>22373028</v>
      </c>
      <c r="E16" s="286">
        <f>(C16-D16)/ABS(D16)</f>
        <v>2.7842677352390564E-2</v>
      </c>
      <c r="F16" s="367">
        <v>70356164</v>
      </c>
      <c r="G16" s="367">
        <v>67786095</v>
      </c>
      <c r="H16" s="367">
        <v>71179762</v>
      </c>
      <c r="I16" s="367">
        <v>61894253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5129.5834930000001</v>
      </c>
      <c r="C17" s="127">
        <f>Data!B5/1000000</f>
        <v>25428.600584</v>
      </c>
      <c r="D17" s="249">
        <f>Data!B8/1000000</f>
        <v>28627.499025000001</v>
      </c>
      <c r="E17" s="286">
        <f t="shared" ref="E17:E18" si="0">(C17-D17)/ABS(D17)</f>
        <v>-0.11174215526848669</v>
      </c>
      <c r="F17" s="367">
        <v>91717</v>
      </c>
      <c r="G17" s="367">
        <v>85958</v>
      </c>
      <c r="H17" s="367">
        <v>79501</v>
      </c>
      <c r="I17" s="367">
        <v>74406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351645.89970394183</v>
      </c>
      <c r="C18" s="127">
        <f>Data!C5/1000000</f>
        <v>1573386.6973695334</v>
      </c>
      <c r="D18" s="249">
        <f>Data!C8/1000000</f>
        <v>1979115.1717160714</v>
      </c>
      <c r="E18" s="286">
        <f t="shared" si="0"/>
        <v>-0.2050049841186023</v>
      </c>
      <c r="F18" s="367">
        <v>5537665</v>
      </c>
      <c r="G18" s="367">
        <v>5479433</v>
      </c>
      <c r="H18" s="367">
        <v>5892768</v>
      </c>
      <c r="I18" s="367">
        <v>5015419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7"/>
      <c r="G19" s="367"/>
      <c r="H19" s="367"/>
      <c r="I19" s="367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7"/>
      <c r="G20" s="367"/>
      <c r="H20" s="373"/>
      <c r="I20" s="373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1313</v>
      </c>
      <c r="C21" s="127">
        <f>Data!F5</f>
        <v>4281</v>
      </c>
      <c r="D21" s="249">
        <f>Data!F8</f>
        <v>10281</v>
      </c>
      <c r="E21" s="286">
        <f>(C21-D21)/ABS(D21)</f>
        <v>-0.58360081704114386</v>
      </c>
      <c r="F21" s="367">
        <v>21951</v>
      </c>
      <c r="G21" s="367">
        <v>36150</v>
      </c>
      <c r="H21" s="367">
        <v>38735</v>
      </c>
      <c r="I21" s="367">
        <v>30897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436.52191800000003</v>
      </c>
      <c r="C22" s="127">
        <f>Data!G5/1000000</f>
        <v>2404.8599800000002</v>
      </c>
      <c r="D22" s="249">
        <f>Data!G8/1000000</f>
        <v>3088.8763370000001</v>
      </c>
      <c r="E22" s="286">
        <f t="shared" ref="E22:E23" si="1">(C22-D22)/ABS(D22)</f>
        <v>-0.22144504420799671</v>
      </c>
      <c r="F22" s="367">
        <v>8350</v>
      </c>
      <c r="G22" s="367">
        <v>10343</v>
      </c>
      <c r="H22" s="367">
        <v>6935</v>
      </c>
      <c r="I22" s="367">
        <v>7273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17309.865913001806</v>
      </c>
      <c r="C23" s="128">
        <f>Data!H5/1000000</f>
        <v>80774.628094068365</v>
      </c>
      <c r="D23" s="290">
        <f>Data!H8/1000000</f>
        <v>135724.68160401151</v>
      </c>
      <c r="E23" s="291">
        <f t="shared" si="1"/>
        <v>-0.40486411801108274</v>
      </c>
      <c r="F23" s="368">
        <v>328909</v>
      </c>
      <c r="G23" s="368">
        <v>417329</v>
      </c>
      <c r="H23" s="368">
        <v>379199</v>
      </c>
      <c r="I23" s="368">
        <v>336258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2"/>
      <c r="H26" s="281"/>
      <c r="I26" s="281"/>
      <c r="K26" s="172"/>
      <c r="L26" s="172"/>
    </row>
    <row r="27" spans="1:12" s="107" customFormat="1" ht="12.75" customHeight="1" x14ac:dyDescent="0.25">
      <c r="A27" s="293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4"/>
      <c r="B28" s="282" t="str">
        <f>TEXT($H$3,"MMM")&amp;" "&amp;TEXT($H$3,"YYYY")</f>
        <v>Apr 2019</v>
      </c>
      <c r="C28" s="282" t="str">
        <f>$C$15</f>
        <v>2019</v>
      </c>
      <c r="D28" s="282">
        <f>$D$15</f>
        <v>2018</v>
      </c>
      <c r="E28" s="284" t="s">
        <v>6</v>
      </c>
      <c r="F28" s="284">
        <f>$F$15</f>
        <v>2018</v>
      </c>
      <c r="G28" s="294">
        <f>$G$15</f>
        <v>2017</v>
      </c>
      <c r="H28" s="294">
        <f>$H$15</f>
        <v>2016</v>
      </c>
      <c r="I28" s="294">
        <f>$I$15</f>
        <v>2015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67521.777546829995</v>
      </c>
      <c r="C29" s="249">
        <f>Data!O5/1000000</f>
        <v>303570.71899232001</v>
      </c>
      <c r="D29" s="249">
        <f>Data!O8/1000000</f>
        <v>433709.41538621997</v>
      </c>
      <c r="E29" s="195">
        <f>C29-D29</f>
        <v>-130138.69639389997</v>
      </c>
      <c r="F29" s="364">
        <v>1074516</v>
      </c>
      <c r="G29" s="364">
        <v>992119</v>
      </c>
      <c r="H29" s="295">
        <v>1010947</v>
      </c>
      <c r="I29" s="295">
        <v>969468</v>
      </c>
      <c r="J29" s="129"/>
    </row>
    <row r="30" spans="1:12" ht="12.75" customHeight="1" x14ac:dyDescent="0.2">
      <c r="A30" s="248" t="s">
        <v>11</v>
      </c>
      <c r="B30" s="249">
        <f>Data!P2/1000000</f>
        <v>-69794.569649469995</v>
      </c>
      <c r="C30" s="249">
        <f>Data!P5/1000000</f>
        <v>-330512.54826339002</v>
      </c>
      <c r="D30" s="249">
        <f>Data!P8/1000000</f>
        <v>-401911.37721384998</v>
      </c>
      <c r="E30" s="195">
        <f>C30-D30</f>
        <v>71398.828950459952</v>
      </c>
      <c r="F30" s="364">
        <v>-1127559</v>
      </c>
      <c r="G30" s="364">
        <v>-1039685</v>
      </c>
      <c r="H30" s="295">
        <v>-1134812</v>
      </c>
      <c r="I30" s="295">
        <v>-970485</v>
      </c>
      <c r="J30" s="129"/>
    </row>
    <row r="31" spans="1:12" s="107" customFormat="1" ht="12.75" customHeight="1" thickBot="1" x14ac:dyDescent="0.3">
      <c r="A31" s="296" t="s">
        <v>12</v>
      </c>
      <c r="B31" s="297">
        <f>Data!Q2/1000000</f>
        <v>-2272.7921026399999</v>
      </c>
      <c r="C31" s="297">
        <f>Data!Q5/1000000</f>
        <v>-26941.829271070001</v>
      </c>
      <c r="D31" s="297">
        <f>Data!Q8/1000000</f>
        <v>31798.038172369997</v>
      </c>
      <c r="E31" s="298">
        <f>C31-D31</f>
        <v>-58739.867443440002</v>
      </c>
      <c r="F31" s="369">
        <v>-53042</v>
      </c>
      <c r="G31" s="369">
        <v>-47566</v>
      </c>
      <c r="H31" s="369">
        <v>-123865</v>
      </c>
      <c r="I31" s="369">
        <v>-1017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299"/>
      <c r="B34" s="280" t="s">
        <v>1</v>
      </c>
      <c r="C34" s="280" t="s">
        <v>179</v>
      </c>
      <c r="D34" s="280" t="s">
        <v>179</v>
      </c>
      <c r="E34" s="300" t="s">
        <v>2</v>
      </c>
      <c r="F34" s="300"/>
      <c r="G34" s="292"/>
      <c r="H34" s="300"/>
      <c r="I34" s="299"/>
      <c r="K34" s="171"/>
      <c r="L34" s="172"/>
    </row>
    <row r="35" spans="1:14" s="107" customFormat="1" ht="12.75" customHeight="1" x14ac:dyDescent="0.25">
      <c r="A35" s="299"/>
      <c r="B35" s="280" t="s">
        <v>3</v>
      </c>
      <c r="C35" s="280" t="s">
        <v>4</v>
      </c>
      <c r="D35" s="280" t="s">
        <v>4</v>
      </c>
      <c r="E35" s="300" t="s">
        <v>5</v>
      </c>
      <c r="F35" s="280"/>
      <c r="G35" s="292"/>
      <c r="H35" s="300"/>
      <c r="I35" s="299"/>
      <c r="K35" s="171"/>
      <c r="L35" s="172"/>
    </row>
    <row r="36" spans="1:14" s="107" customFormat="1" ht="12.75" customHeight="1" thickBot="1" x14ac:dyDescent="0.3">
      <c r="A36" s="301"/>
      <c r="B36" s="282" t="str">
        <f>TEXT($H$3,"MMM")&amp;" "&amp;TEXT($H$3,"YYYY")</f>
        <v>Apr 2019</v>
      </c>
      <c r="C36" s="282" t="str">
        <f>$C$15</f>
        <v>2019</v>
      </c>
      <c r="D36" s="282">
        <f>$D$15</f>
        <v>2018</v>
      </c>
      <c r="E36" s="284" t="s">
        <v>6</v>
      </c>
      <c r="F36" s="284">
        <f>$F$15</f>
        <v>2018</v>
      </c>
      <c r="G36" s="294">
        <f>$G$15</f>
        <v>2017</v>
      </c>
      <c r="H36" s="294">
        <f>$H$15</f>
        <v>2016</v>
      </c>
      <c r="I36" s="294">
        <f>$I$15</f>
        <v>2015</v>
      </c>
      <c r="K36" s="173"/>
      <c r="L36" s="178"/>
    </row>
    <row r="37" spans="1:14" ht="12.75" customHeight="1" x14ac:dyDescent="0.25">
      <c r="A37" s="302" t="s">
        <v>150</v>
      </c>
      <c r="B37" s="303"/>
      <c r="C37" s="303"/>
      <c r="D37" s="303"/>
      <c r="E37" s="302"/>
      <c r="F37" s="302"/>
      <c r="G37" s="287"/>
      <c r="H37" s="302"/>
      <c r="I37" s="302"/>
      <c r="K37" s="171"/>
      <c r="M37" s="19"/>
      <c r="N37" s="19"/>
    </row>
    <row r="38" spans="1:14" ht="12.75" customHeight="1" x14ac:dyDescent="0.2">
      <c r="A38" s="304" t="s">
        <v>117</v>
      </c>
      <c r="B38" s="287">
        <f>Data!CK1+975</f>
        <v>26555</v>
      </c>
      <c r="C38" s="287">
        <f>Data!CK6+4386</f>
        <v>97593</v>
      </c>
      <c r="D38" s="287">
        <f>Data!CK11</f>
        <v>100273</v>
      </c>
      <c r="E38" s="286">
        <f t="shared" ref="E38:E40" si="2">IFERROR(IF(OR(AND(D38="",C38=""),AND(D38=0,C38=0)),"",
IF(OR(D38="",D38=0),1,
IF(OR(D38&lt;&gt;"",D38&lt;&gt;0),(C38-D38)/ABS(D38)))),-1)</f>
        <v>-2.6727035193920598E-2</v>
      </c>
      <c r="F38" s="367">
        <v>302385</v>
      </c>
      <c r="G38" s="367">
        <v>291730</v>
      </c>
      <c r="H38" s="367">
        <v>283127</v>
      </c>
      <c r="I38" s="367">
        <v>290607</v>
      </c>
      <c r="J38" s="29"/>
      <c r="K38" s="171"/>
      <c r="M38" s="19"/>
      <c r="N38" s="19"/>
    </row>
    <row r="39" spans="1:14" ht="12.75" customHeight="1" x14ac:dyDescent="0.2">
      <c r="A39" s="304" t="s">
        <v>151</v>
      </c>
      <c r="B39" s="287">
        <f>Data!CK2/1000000+34500</f>
        <v>886697.69785</v>
      </c>
      <c r="C39" s="287">
        <f>Data!CK7/1000000+141935</f>
        <v>3172509.536694</v>
      </c>
      <c r="D39" s="287">
        <f>Data!CK12/1000000</f>
        <v>3153078.5051719998</v>
      </c>
      <c r="E39" s="286">
        <f t="shared" si="2"/>
        <v>6.1625587469920128E-3</v>
      </c>
      <c r="F39" s="367">
        <v>9185860</v>
      </c>
      <c r="G39" s="367">
        <v>7876304</v>
      </c>
      <c r="H39" s="367">
        <v>7321629</v>
      </c>
      <c r="I39" s="367">
        <v>6653964</v>
      </c>
      <c r="J39" s="27"/>
      <c r="K39" s="171"/>
    </row>
    <row r="40" spans="1:14" ht="12.75" customHeight="1" x14ac:dyDescent="0.2">
      <c r="A40" s="304" t="s">
        <v>152</v>
      </c>
      <c r="B40" s="287">
        <f>Data!CK3/1000000+38730</f>
        <v>905751.51150531007</v>
      </c>
      <c r="C40" s="287">
        <f>Data!CK8/1000000+156610</f>
        <v>3215683.0250909892</v>
      </c>
      <c r="D40" s="287">
        <f>Data!CK13/1000000</f>
        <v>3293464.1701116604</v>
      </c>
      <c r="E40" s="286">
        <f t="shared" si="2"/>
        <v>-2.3616818341774804E-2</v>
      </c>
      <c r="F40" s="367">
        <v>9451509</v>
      </c>
      <c r="G40" s="367">
        <v>8198143</v>
      </c>
      <c r="H40" s="367">
        <v>7580050</v>
      </c>
      <c r="I40" s="367">
        <v>7166248</v>
      </c>
      <c r="J40" s="29"/>
      <c r="L40" s="176"/>
    </row>
    <row r="41" spans="1:14" ht="12.75" customHeight="1" x14ac:dyDescent="0.2">
      <c r="A41" s="304"/>
      <c r="B41" s="249"/>
      <c r="C41" s="305"/>
      <c r="D41" s="305"/>
      <c r="E41" s="184"/>
      <c r="F41" s="367"/>
      <c r="G41" s="367"/>
      <c r="H41" s="367"/>
      <c r="I41" s="305"/>
      <c r="M41" s="19"/>
      <c r="N41" s="19"/>
    </row>
    <row r="42" spans="1:14" s="107" customFormat="1" ht="12.75" customHeight="1" x14ac:dyDescent="0.25">
      <c r="A42" s="302" t="s">
        <v>153</v>
      </c>
      <c r="B42" s="287"/>
      <c r="C42" s="287"/>
      <c r="D42" s="287"/>
      <c r="E42" s="184"/>
      <c r="F42" s="367"/>
      <c r="G42" s="367"/>
      <c r="H42" s="306"/>
      <c r="I42" s="306"/>
      <c r="K42" s="172"/>
      <c r="L42" s="172"/>
      <c r="M42" s="16"/>
      <c r="N42" s="16"/>
    </row>
    <row r="43" spans="1:14" ht="12.75" customHeight="1" x14ac:dyDescent="0.2">
      <c r="A43" s="304" t="s">
        <v>117</v>
      </c>
      <c r="B43" s="287">
        <f>Data!CN1</f>
        <v>16125</v>
      </c>
      <c r="C43" s="287">
        <f>Data!CN6</f>
        <v>59465</v>
      </c>
      <c r="D43" s="287">
        <f>Data!CN11</f>
        <v>49908</v>
      </c>
      <c r="E43" s="286">
        <f t="shared" ref="E43:E45" si="3">IFERROR(IF(OR(AND(D43="",C43=""),AND(D43=0,C43=0)),"",
IF(OR(D43="",D43=0),1,
IF(OR(D43&lt;&gt;"",D43&lt;&gt;0),(C43-D43)/ABS(D43)))),-1)</f>
        <v>0.19149234591648634</v>
      </c>
      <c r="F43" s="367">
        <v>161055</v>
      </c>
      <c r="G43" s="367">
        <v>153015</v>
      </c>
      <c r="H43" s="367">
        <v>170507</v>
      </c>
      <c r="I43" s="367">
        <v>157998</v>
      </c>
      <c r="J43" s="27"/>
      <c r="L43" s="172"/>
      <c r="M43" s="19"/>
      <c r="N43" s="19"/>
    </row>
    <row r="44" spans="1:14" ht="12.75" customHeight="1" x14ac:dyDescent="0.2">
      <c r="A44" s="304" t="s">
        <v>154</v>
      </c>
      <c r="B44" s="287">
        <f>Data!CN2/1000000</f>
        <v>2154924.4929579999</v>
      </c>
      <c r="C44" s="287">
        <f>Data!CN7/1000000</f>
        <v>8144444.7984530004</v>
      </c>
      <c r="D44" s="287">
        <f>Data!CN12/1000000</f>
        <v>6363354.7176029999</v>
      </c>
      <c r="E44" s="286">
        <f t="shared" si="3"/>
        <v>0.27989797204341865</v>
      </c>
      <c r="F44" s="367">
        <v>20951365</v>
      </c>
      <c r="G44" s="367">
        <v>19085335</v>
      </c>
      <c r="H44" s="367">
        <v>19586029</v>
      </c>
      <c r="I44" s="367">
        <v>15650220</v>
      </c>
      <c r="J44" s="29"/>
      <c r="L44" s="172"/>
    </row>
    <row r="45" spans="1:14" ht="12.75" customHeight="1" x14ac:dyDescent="0.2">
      <c r="A45" s="304" t="s">
        <v>152</v>
      </c>
      <c r="B45" s="287">
        <f>Data!CN3/1000000</f>
        <v>2151060.01515545</v>
      </c>
      <c r="C45" s="287">
        <f>Data!CN8/1000000</f>
        <v>7905727.5095245913</v>
      </c>
      <c r="D45" s="287">
        <f>Data!CN13/1000000</f>
        <v>6488039.2896306878</v>
      </c>
      <c r="E45" s="286">
        <f t="shared" si="3"/>
        <v>0.21850795850753874</v>
      </c>
      <c r="F45" s="367">
        <v>20334924</v>
      </c>
      <c r="G45" s="367">
        <v>18571364</v>
      </c>
      <c r="H45" s="367">
        <v>19133372</v>
      </c>
      <c r="I45" s="367">
        <v>16112281</v>
      </c>
      <c r="J45" s="29"/>
      <c r="L45" s="172"/>
    </row>
    <row r="46" spans="1:14" ht="12.75" customHeight="1" x14ac:dyDescent="0.2">
      <c r="A46" s="304"/>
      <c r="B46" s="249"/>
      <c r="C46" s="305"/>
      <c r="D46" s="305"/>
      <c r="E46" s="184"/>
      <c r="F46" s="367"/>
      <c r="G46" s="367"/>
      <c r="H46" s="367"/>
      <c r="I46" s="367"/>
      <c r="L46" s="172"/>
    </row>
    <row r="47" spans="1:14" ht="12.75" customHeight="1" x14ac:dyDescent="0.25">
      <c r="A47" s="307" t="s">
        <v>160</v>
      </c>
      <c r="B47" s="249"/>
      <c r="C47" s="305"/>
      <c r="D47" s="305"/>
      <c r="E47" s="184"/>
      <c r="F47" s="367"/>
      <c r="G47" s="367"/>
      <c r="H47" s="367"/>
      <c r="I47" s="367"/>
      <c r="J47" s="27"/>
      <c r="L47" s="172"/>
    </row>
    <row r="48" spans="1:14" s="107" customFormat="1" ht="12.75" customHeight="1" x14ac:dyDescent="0.2">
      <c r="A48" s="304" t="s">
        <v>117</v>
      </c>
      <c r="B48" s="127">
        <f>Data!CQ1</f>
        <v>661</v>
      </c>
      <c r="C48" s="127">
        <f>Data!CQ6</f>
        <v>2974</v>
      </c>
      <c r="D48" s="249">
        <f>Data!CQ11</f>
        <v>2881</v>
      </c>
      <c r="E48" s="286">
        <f t="shared" ref="E48:E50" si="4">IFERROR(IF(OR(AND(D48="",C48=""),AND(D48=0,C48=0)),"",
IF(OR(D48="",D48=0),1,
IF(OR(D48&lt;&gt;"",D48&lt;&gt;0),(C48-D48)/ABS(D48)))),-1)</f>
        <v>3.2280458174245054E-2</v>
      </c>
      <c r="F48" s="367">
        <v>8603</v>
      </c>
      <c r="G48" s="367">
        <v>8729</v>
      </c>
      <c r="H48" s="367">
        <v>7665</v>
      </c>
      <c r="I48" s="367">
        <v>5572</v>
      </c>
      <c r="J48" s="27"/>
      <c r="K48" s="172"/>
      <c r="L48" s="176"/>
    </row>
    <row r="49" spans="1:12" s="107" customFormat="1" ht="12.75" customHeight="1" x14ac:dyDescent="0.2">
      <c r="A49" s="304" t="s">
        <v>154</v>
      </c>
      <c r="B49" s="127">
        <f>Data!CQ2/1000000</f>
        <v>44587.087619999998</v>
      </c>
      <c r="C49" s="127">
        <f>Data!CQ7/1000000</f>
        <v>206106.24460199999</v>
      </c>
      <c r="D49" s="249">
        <f>Data!CQ12/1000000</f>
        <v>204420.697644</v>
      </c>
      <c r="E49" s="286">
        <f t="shared" si="4"/>
        <v>8.2454809000573077E-3</v>
      </c>
      <c r="F49" s="367">
        <v>658610</v>
      </c>
      <c r="G49" s="367">
        <v>737277</v>
      </c>
      <c r="H49" s="367">
        <v>747909</v>
      </c>
      <c r="I49" s="367">
        <v>434632</v>
      </c>
      <c r="J49" s="32"/>
      <c r="K49" s="172"/>
      <c r="L49" s="176"/>
    </row>
    <row r="50" spans="1:12" s="107" customFormat="1" ht="12.75" customHeight="1" thickBot="1" x14ac:dyDescent="0.25">
      <c r="A50" s="308" t="s">
        <v>152</v>
      </c>
      <c r="B50" s="128">
        <f>Data!CQ3/1000000</f>
        <v>14469.7176148</v>
      </c>
      <c r="C50" s="128">
        <f>Data!CQ8/1000000</f>
        <v>75657.879428080007</v>
      </c>
      <c r="D50" s="290">
        <f>Data!CQ13/1000000</f>
        <v>67095.978859549999</v>
      </c>
      <c r="E50" s="291">
        <f t="shared" si="4"/>
        <v>0.12760676144918276</v>
      </c>
      <c r="F50" s="368">
        <v>206820</v>
      </c>
      <c r="G50" s="368">
        <v>305414</v>
      </c>
      <c r="H50" s="368">
        <v>370548</v>
      </c>
      <c r="I50" s="368">
        <v>240709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299"/>
      <c r="B54" s="280" t="s">
        <v>1</v>
      </c>
      <c r="C54" s="280" t="s">
        <v>179</v>
      </c>
      <c r="D54" s="280" t="s">
        <v>179</v>
      </c>
      <c r="E54" s="300" t="s">
        <v>8</v>
      </c>
      <c r="F54" s="309"/>
      <c r="G54" s="292"/>
      <c r="H54" s="299"/>
      <c r="I54" s="299"/>
      <c r="J54" s="30"/>
    </row>
    <row r="55" spans="1:12" ht="12.75" customHeight="1" x14ac:dyDescent="0.25">
      <c r="A55" s="299"/>
      <c r="B55" s="280" t="s">
        <v>3</v>
      </c>
      <c r="C55" s="280" t="s">
        <v>4</v>
      </c>
      <c r="D55" s="280" t="s">
        <v>4</v>
      </c>
      <c r="E55" s="300" t="s">
        <v>9</v>
      </c>
      <c r="F55" s="309"/>
      <c r="G55" s="292"/>
      <c r="H55" s="299"/>
      <c r="I55" s="299"/>
      <c r="J55" s="30"/>
    </row>
    <row r="56" spans="1:12" ht="12.75" customHeight="1" thickBot="1" x14ac:dyDescent="0.3">
      <c r="A56" s="301"/>
      <c r="B56" s="282" t="str">
        <f>TEXT($H$3,"MMM")&amp;" "&amp;TEXT($H$3,"YYYY")</f>
        <v>Apr 2019</v>
      </c>
      <c r="C56" s="282" t="str">
        <f>$C$15</f>
        <v>2019</v>
      </c>
      <c r="D56" s="282">
        <f>$D$15</f>
        <v>2018</v>
      </c>
      <c r="E56" s="284" t="s">
        <v>6</v>
      </c>
      <c r="F56" s="284">
        <f>$F$15</f>
        <v>2018</v>
      </c>
      <c r="G56" s="294">
        <f>$G$15</f>
        <v>2017</v>
      </c>
      <c r="H56" s="294">
        <f>$H$15</f>
        <v>2016</v>
      </c>
      <c r="I56" s="294">
        <f>$I$15</f>
        <v>2015</v>
      </c>
      <c r="J56" s="107"/>
      <c r="L56" s="176"/>
    </row>
    <row r="57" spans="1:12" ht="12.75" customHeight="1" x14ac:dyDescent="0.2">
      <c r="A57" s="304" t="s">
        <v>157</v>
      </c>
      <c r="B57" s="287">
        <f>(SUMIFS(Data!$CZ$14:$CZ$25,Data!$CU$14:$CU$25,"Standard Trade")+SUMIFS(Data!$CZ$14:$CZ$25,Data!$CU$14:$CU$25,"Standard Trade (Spot)"))/1000000</f>
        <v>108270.84054200001</v>
      </c>
      <c r="C57" s="287">
        <f>(SUMIFS(Data!$CZ$1:$CZ$12,Data!$CU$1:$CU$12,"Standard Trade")+SUMIFS(Data!$CZ$1:$CZ$12,Data!$CU$1:$CU$12,"Standard Trade (Spot)"))/1000000</f>
        <v>379392.21651</v>
      </c>
      <c r="D57" s="287">
        <f>(SUMIFS(Data!$CZ$27:$CZ$38,Data!$CU$27:$CU$38,"Standard Trade")+SUMIFS(Data!$CZ$27:$CZ$38,Data!$CU$27:$CU$38,"Standard Trade (Spot)"))/1000000</f>
        <v>399223.34330000001</v>
      </c>
      <c r="E57" s="195">
        <f>C57-D57</f>
        <v>-19831.126790000009</v>
      </c>
      <c r="F57" s="367">
        <v>1118355</v>
      </c>
      <c r="G57" s="367">
        <v>1072127</v>
      </c>
      <c r="H57" s="305">
        <v>954436</v>
      </c>
      <c r="I57" s="305">
        <v>821507</v>
      </c>
      <c r="J57" s="27"/>
      <c r="L57" s="176"/>
    </row>
    <row r="58" spans="1:12" ht="12.75" customHeight="1" x14ac:dyDescent="0.2">
      <c r="A58" s="304" t="s">
        <v>158</v>
      </c>
      <c r="B58" s="287">
        <f>(SUMIFS(Data!$DC$14:$DC$25,Data!$CU$14:$CU$25,"Standard Trade")+SUMIFS(Data!$DC$14:$DC$25,Data!$CU$14:$CU$25,"Standard Trade (Spot)"))/1000000</f>
        <v>100215.78611299999</v>
      </c>
      <c r="C58" s="287">
        <f>(SUMIFS(Data!$DC$1:$DC$12,Data!$CU$1:$CU$12,"Standard Trade")+SUMIFS(Data!$DC$1:$DC$12,Data!$CU$1:$CU$12,"Standard Trade (Spot)"))/1000000</f>
        <v>354978.31824699999</v>
      </c>
      <c r="D58" s="287">
        <f>(SUMIFS(Data!$DC$27:$DC$38,Data!$CU$27:$CU$38,"Standard Trade")+SUMIFS(Data!$DC$27:$DC$38,Data!$CU$27:$CU$38,"Standard Trade (Spot)"))/1000000</f>
        <v>380036.35340899997</v>
      </c>
      <c r="E58" s="195">
        <f>C58-D58</f>
        <v>-25058.035161999986</v>
      </c>
      <c r="F58" s="367">
        <v>1183484</v>
      </c>
      <c r="G58" s="367">
        <v>1016544</v>
      </c>
      <c r="H58" s="305">
        <v>922129</v>
      </c>
      <c r="I58" s="305">
        <v>820729</v>
      </c>
      <c r="J58" s="27"/>
      <c r="L58" s="176"/>
    </row>
    <row r="59" spans="1:12" ht="12.75" customHeight="1" thickBot="1" x14ac:dyDescent="0.3">
      <c r="A59" s="310" t="s">
        <v>12</v>
      </c>
      <c r="B59" s="297">
        <f>B57-B58</f>
        <v>8055.0544290000107</v>
      </c>
      <c r="C59" s="297">
        <f t="shared" ref="C59" si="5">C57-C58</f>
        <v>24413.89826300001</v>
      </c>
      <c r="D59" s="297">
        <f>D57-D58</f>
        <v>19186.989891000034</v>
      </c>
      <c r="E59" s="297">
        <f>E57-E58</f>
        <v>5226.9083719999762</v>
      </c>
      <c r="F59" s="369">
        <v>-65129</v>
      </c>
      <c r="G59" s="369">
        <v>55583</v>
      </c>
      <c r="H59" s="369">
        <v>32307</v>
      </c>
      <c r="I59" s="369">
        <v>778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299"/>
      <c r="B63" s="280" t="s">
        <v>1</v>
      </c>
      <c r="C63" s="280" t="s">
        <v>179</v>
      </c>
      <c r="D63" s="280" t="s">
        <v>179</v>
      </c>
      <c r="E63" s="300" t="s">
        <v>13</v>
      </c>
      <c r="F63" s="309"/>
      <c r="G63" s="292"/>
      <c r="H63" s="299"/>
      <c r="I63" s="299"/>
    </row>
    <row r="64" spans="1:12" ht="15" x14ac:dyDescent="0.25">
      <c r="A64" s="299"/>
      <c r="B64" s="280" t="s">
        <v>3</v>
      </c>
      <c r="C64" s="280" t="s">
        <v>4</v>
      </c>
      <c r="D64" s="280" t="s">
        <v>4</v>
      </c>
      <c r="E64" s="300" t="s">
        <v>9</v>
      </c>
      <c r="F64" s="309"/>
      <c r="G64" s="292"/>
      <c r="H64" s="299"/>
      <c r="I64" s="299"/>
    </row>
    <row r="65" spans="1:12" ht="15.75" thickBot="1" x14ac:dyDescent="0.3">
      <c r="A65" s="301"/>
      <c r="B65" s="282" t="str">
        <f>TEXT($H$3,"MMM")&amp;" "&amp;TEXT($H$3,"YYYY")</f>
        <v>Apr 2019</v>
      </c>
      <c r="C65" s="282" t="str">
        <f>$C$15</f>
        <v>2019</v>
      </c>
      <c r="D65" s="282">
        <f>$D$15</f>
        <v>2018</v>
      </c>
      <c r="E65" s="284" t="s">
        <v>6</v>
      </c>
      <c r="F65" s="284">
        <f>$F$15</f>
        <v>2018</v>
      </c>
      <c r="G65" s="294">
        <f>$G$15</f>
        <v>2017</v>
      </c>
      <c r="H65" s="294">
        <f>$H$15</f>
        <v>2016</v>
      </c>
      <c r="I65" s="294">
        <f>$I$15</f>
        <v>2015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225359</v>
      </c>
      <c r="C67" s="249">
        <f>Data!BR2</f>
        <v>1082861</v>
      </c>
      <c r="D67" s="249">
        <f>Data!BR8</f>
        <v>1064889</v>
      </c>
      <c r="E67" s="286">
        <f>IFERROR(IF(OR(AND(D67="",C67=""),AND(D67=0,C67=0)),"",
IF(OR(D67="",D67=0),1,
IF(OR(D67&lt;&gt;"",D67&lt;&gt;0),(C67-D67)/ABS(D67)))),-1)</f>
        <v>1.6876876369274169E-2</v>
      </c>
      <c r="F67" s="367">
        <v>3608867</v>
      </c>
      <c r="G67" s="367">
        <v>3180985</v>
      </c>
      <c r="H67" s="367">
        <v>3591024</v>
      </c>
      <c r="I67" s="312">
        <v>3526147</v>
      </c>
      <c r="J67" s="158"/>
    </row>
    <row r="68" spans="1:12" ht="14.25" x14ac:dyDescent="0.2">
      <c r="A68" s="248" t="s">
        <v>142</v>
      </c>
      <c r="B68" s="127">
        <f>C379/1000</f>
        <v>3428.384</v>
      </c>
      <c r="C68" s="249">
        <f>Data!BQ2/1000</f>
        <v>29274.864000000001</v>
      </c>
      <c r="D68" s="249">
        <f>Data!BQ8/1000</f>
        <v>39998.148999999998</v>
      </c>
      <c r="E68" s="286">
        <f t="shared" ref="E68:E70" si="6">IFERROR(IF(OR(AND(D68="",C68=""),AND(D68=0,C68=0)),"",
IF(OR(D68="",D68=0),1,
IF(OR(D68&lt;&gt;"",D68&lt;&gt;0),(C68-D68)/ABS(D68)))),-1)</f>
        <v>-0.26809453107442538</v>
      </c>
      <c r="F68" s="367">
        <v>99815</v>
      </c>
      <c r="G68" s="367">
        <v>293559</v>
      </c>
      <c r="H68" s="367">
        <v>412077</v>
      </c>
      <c r="I68" s="367">
        <v>432277</v>
      </c>
      <c r="J68" s="158"/>
    </row>
    <row r="69" spans="1:12" ht="14.25" x14ac:dyDescent="0.2">
      <c r="A69" s="248" t="s">
        <v>143</v>
      </c>
      <c r="B69" s="127">
        <f>C397/1000000</f>
        <v>252.23073048325728</v>
      </c>
      <c r="C69" s="249">
        <f>Data!BP2/1000000000</f>
        <v>1536.8853145600483</v>
      </c>
      <c r="D69" s="249">
        <f>Data!BP8/1000000000</f>
        <v>1850.9106515560752</v>
      </c>
      <c r="E69" s="286">
        <f t="shared" si="6"/>
        <v>-0.16965991131555883</v>
      </c>
      <c r="F69" s="367">
        <v>5957</v>
      </c>
      <c r="G69" s="367">
        <v>6132</v>
      </c>
      <c r="H69" s="367">
        <v>6894</v>
      </c>
      <c r="I69" s="367">
        <v>6619</v>
      </c>
      <c r="J69" s="158"/>
    </row>
    <row r="70" spans="1:12" ht="14.25" x14ac:dyDescent="0.2">
      <c r="A70" s="248" t="s">
        <v>144</v>
      </c>
      <c r="B70" s="127">
        <f>SUM(C408:C414)</f>
        <v>5769883</v>
      </c>
      <c r="C70" s="249">
        <f>B70</f>
        <v>5769883</v>
      </c>
      <c r="D70" s="249">
        <f>Data!BP14</f>
        <v>8663410</v>
      </c>
      <c r="E70" s="286">
        <f t="shared" si="6"/>
        <v>-0.33399400467021645</v>
      </c>
      <c r="F70" s="367">
        <v>7952641</v>
      </c>
      <c r="G70" s="367">
        <v>19047404</v>
      </c>
      <c r="H70" s="367">
        <v>40320362</v>
      </c>
      <c r="I70" s="367">
        <v>60646619</v>
      </c>
      <c r="J70" s="158"/>
    </row>
    <row r="71" spans="1:12" ht="14.25" x14ac:dyDescent="0.2">
      <c r="A71" s="248"/>
      <c r="B71" s="249"/>
      <c r="C71" s="249"/>
      <c r="D71" s="249"/>
      <c r="E71" s="248"/>
      <c r="F71" s="367"/>
      <c r="G71" s="367"/>
      <c r="H71" s="367"/>
      <c r="I71" s="367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3"/>
      <c r="G72" s="367"/>
      <c r="H72" s="367"/>
      <c r="I72" s="367"/>
      <c r="J72" s="160"/>
    </row>
    <row r="73" spans="1:12" ht="14.25" x14ac:dyDescent="0.2">
      <c r="A73" s="248" t="s">
        <v>117</v>
      </c>
      <c r="B73" s="249">
        <f>C368</f>
        <v>1045</v>
      </c>
      <c r="C73" s="249">
        <f>Data!BR5</f>
        <v>4570</v>
      </c>
      <c r="D73" s="249">
        <f>Data!BR11</f>
        <v>3988</v>
      </c>
      <c r="E73" s="286">
        <f t="shared" ref="E73:E76" si="7">IFERROR(IF(OR(AND(D73="",C73=""),AND(D73=0,C73=0)),"",
IF(OR(D73="",D73=0),1,
IF(OR(D73&lt;&gt;"",D73&lt;&gt;0),(C73-D73)/ABS(D73)))),-1)</f>
        <v>0.14593781344032097</v>
      </c>
      <c r="F73" s="367">
        <v>11785</v>
      </c>
      <c r="G73" s="367">
        <v>23654</v>
      </c>
      <c r="H73" s="367">
        <v>22261</v>
      </c>
      <c r="I73" s="367">
        <v>19921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752.99400000000003</v>
      </c>
      <c r="C74" s="249">
        <f>Data!BQ5/1000</f>
        <v>4386.527</v>
      </c>
      <c r="D74" s="249">
        <f>Data!BQ11/1000</f>
        <v>5902.4070000000002</v>
      </c>
      <c r="E74" s="286">
        <f t="shared" si="7"/>
        <v>-0.2568240380576941</v>
      </c>
      <c r="F74" s="367">
        <v>13366</v>
      </c>
      <c r="G74" s="367">
        <v>18006</v>
      </c>
      <c r="H74" s="367">
        <v>15373</v>
      </c>
      <c r="I74" s="367">
        <v>15764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22.558428248999999</v>
      </c>
      <c r="C75" s="249">
        <f>Data!BP5/1000000000</f>
        <v>13.19534123653</v>
      </c>
      <c r="D75" s="249">
        <f>Data!BP11/1000000000</f>
        <v>11.984085010940001</v>
      </c>
      <c r="E75" s="286">
        <f t="shared" si="7"/>
        <v>0.10107206553393691</v>
      </c>
      <c r="F75" s="367">
        <v>40</v>
      </c>
      <c r="G75" s="367">
        <v>41</v>
      </c>
      <c r="H75" s="367">
        <v>47</v>
      </c>
      <c r="I75" s="367">
        <v>28</v>
      </c>
      <c r="J75" s="158"/>
      <c r="K75" s="177"/>
    </row>
    <row r="76" spans="1:12" ht="14.25" x14ac:dyDescent="0.2">
      <c r="A76" s="248" t="s">
        <v>144</v>
      </c>
      <c r="B76" s="249">
        <f>SUM(C417:C420)</f>
        <v>3048766</v>
      </c>
      <c r="C76" s="249">
        <f>B76</f>
        <v>3048766</v>
      </c>
      <c r="D76" s="249">
        <f>Data!BP17</f>
        <v>2104071</v>
      </c>
      <c r="E76" s="286">
        <f t="shared" si="7"/>
        <v>0.44898437362617516</v>
      </c>
      <c r="F76" s="367">
        <v>2075303</v>
      </c>
      <c r="G76" s="367">
        <v>2296842</v>
      </c>
      <c r="H76" s="367">
        <v>2300487</v>
      </c>
      <c r="I76" s="367">
        <v>1541161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Apr 2019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98" t="s">
        <v>199</v>
      </c>
      <c r="G95" s="398"/>
      <c r="H95" s="398"/>
      <c r="I95" s="230"/>
    </row>
    <row r="96" spans="1:9" x14ac:dyDescent="0.2">
      <c r="A96" s="247"/>
      <c r="B96" s="159"/>
      <c r="C96" s="247"/>
      <c r="D96" s="247"/>
      <c r="E96" s="247"/>
      <c r="F96" s="398"/>
      <c r="G96" s="398"/>
      <c r="H96" s="398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299"/>
      <c r="B99" s="280" t="s">
        <v>1</v>
      </c>
      <c r="C99" s="280" t="s">
        <v>179</v>
      </c>
      <c r="D99" s="280" t="s">
        <v>179</v>
      </c>
      <c r="E99" s="300" t="s">
        <v>13</v>
      </c>
      <c r="F99" s="309"/>
      <c r="G99" s="292"/>
      <c r="H99" s="299"/>
      <c r="I99" s="299"/>
    </row>
    <row r="100" spans="1:9" ht="15" x14ac:dyDescent="0.25">
      <c r="A100" s="299"/>
      <c r="B100" s="280" t="s">
        <v>3</v>
      </c>
      <c r="C100" s="280" t="s">
        <v>4</v>
      </c>
      <c r="D100" s="280" t="s">
        <v>4</v>
      </c>
      <c r="E100" s="300" t="s">
        <v>9</v>
      </c>
      <c r="F100" s="309"/>
      <c r="G100" s="292"/>
      <c r="H100" s="299"/>
      <c r="I100" s="299"/>
    </row>
    <row r="101" spans="1:9" ht="15.75" thickBot="1" x14ac:dyDescent="0.3">
      <c r="A101" s="301"/>
      <c r="B101" s="282" t="str">
        <f>TEXT($H$3,"MMM")&amp;" "&amp;TEXT($H$3,"YYYY")</f>
        <v>Apr 2019</v>
      </c>
      <c r="C101" s="282" t="str">
        <f>TEXT($H$3,"YYYY")</f>
        <v>2019</v>
      </c>
      <c r="D101" s="283">
        <f>TEXT($H$3,"YYYY")-1</f>
        <v>2018</v>
      </c>
      <c r="E101" s="284" t="s">
        <v>6</v>
      </c>
      <c r="F101" s="284">
        <f>$F$15</f>
        <v>2018</v>
      </c>
      <c r="G101" s="294">
        <f>$G$15</f>
        <v>2017</v>
      </c>
      <c r="H101" s="294">
        <f>$H$15</f>
        <v>2016</v>
      </c>
      <c r="I101" s="294">
        <f>$I$15</f>
        <v>2015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1872</v>
      </c>
      <c r="C103" s="249">
        <f>Data!BR32</f>
        <v>4674</v>
      </c>
      <c r="D103" s="249">
        <f>Data!BR38</f>
        <v>4788</v>
      </c>
      <c r="E103" s="286">
        <f t="shared" ref="E103:E106" si="8">IFERROR(IF(OR(AND(D103="",C103=""),AND(D103=0,C103=0)),"",
IF(OR(D103="",D103=0),1,
IF(OR(D103&lt;&gt;"",D103&lt;&gt;0),(C103-D103)/ABS(D103)))),-1)</f>
        <v>-2.3809523809523808E-2</v>
      </c>
      <c r="F103" s="364">
        <v>12477</v>
      </c>
      <c r="G103" s="364">
        <v>12791</v>
      </c>
      <c r="H103" s="364">
        <v>14410</v>
      </c>
      <c r="I103" s="364">
        <v>9505</v>
      </c>
    </row>
    <row r="104" spans="1:9" ht="14.25" x14ac:dyDescent="0.2">
      <c r="A104" s="248" t="s">
        <v>146</v>
      </c>
      <c r="B104" s="127">
        <f>Data!BQ20</f>
        <v>1783306</v>
      </c>
      <c r="C104" s="249">
        <f>Data!BQ32</f>
        <v>4386253</v>
      </c>
      <c r="D104" s="249">
        <f>Data!BQ38</f>
        <v>5440446</v>
      </c>
      <c r="E104" s="286">
        <f t="shared" si="8"/>
        <v>-0.19376959168421118</v>
      </c>
      <c r="F104" s="364">
        <v>11788350</v>
      </c>
      <c r="G104" s="364">
        <v>11946344</v>
      </c>
      <c r="H104" s="364">
        <v>9230179</v>
      </c>
      <c r="I104" s="364">
        <v>5344460</v>
      </c>
    </row>
    <row r="105" spans="1:9" ht="14.25" x14ac:dyDescent="0.2">
      <c r="A105" s="248" t="s">
        <v>119</v>
      </c>
      <c r="B105" s="127">
        <f>Data!BP20/1000000</f>
        <v>204459.47125000998</v>
      </c>
      <c r="C105" s="249">
        <f>Data!BP32/1000000</f>
        <v>484861.40170559002</v>
      </c>
      <c r="D105" s="249">
        <f>Data!BP38/1000000</f>
        <v>609916.06096864003</v>
      </c>
      <c r="E105" s="286">
        <f t="shared" si="8"/>
        <v>-0.2050358520883088</v>
      </c>
      <c r="F105" s="364">
        <v>1282927</v>
      </c>
      <c r="G105" s="364">
        <v>1329270</v>
      </c>
      <c r="H105" s="364">
        <v>1073119</v>
      </c>
      <c r="I105" s="364">
        <v>698663</v>
      </c>
    </row>
    <row r="106" spans="1:9" ht="14.25" x14ac:dyDescent="0.2">
      <c r="A106" s="248" t="s">
        <v>144</v>
      </c>
      <c r="B106" s="127">
        <f>Data!BP26</f>
        <v>1076240</v>
      </c>
      <c r="C106" s="249">
        <f>B106</f>
        <v>1076240</v>
      </c>
      <c r="D106" s="249">
        <f>Data!BP44</f>
        <v>1164622</v>
      </c>
      <c r="E106" s="286">
        <f t="shared" si="8"/>
        <v>-7.5889000894710901E-2</v>
      </c>
      <c r="F106" s="364">
        <v>829599</v>
      </c>
      <c r="G106" s="364">
        <v>1021723</v>
      </c>
      <c r="H106" s="364">
        <v>802030</v>
      </c>
      <c r="I106" s="364">
        <v>621382</v>
      </c>
    </row>
    <row r="107" spans="1:9" ht="14.25" x14ac:dyDescent="0.2">
      <c r="A107" s="248"/>
      <c r="B107" s="127"/>
      <c r="C107" s="249"/>
      <c r="D107" s="249"/>
      <c r="E107" s="248"/>
      <c r="F107" s="364"/>
      <c r="G107" s="364"/>
      <c r="H107" s="364"/>
      <c r="I107" s="364"/>
    </row>
    <row r="108" spans="1:9" ht="15" x14ac:dyDescent="0.25">
      <c r="A108" s="288" t="s">
        <v>15</v>
      </c>
      <c r="B108" s="127"/>
      <c r="C108" s="249"/>
      <c r="D108" s="249"/>
      <c r="E108" s="248"/>
      <c r="F108" s="364"/>
      <c r="G108" s="364"/>
      <c r="H108" s="364"/>
      <c r="I108" s="364"/>
    </row>
    <row r="109" spans="1:9" ht="14.25" x14ac:dyDescent="0.2">
      <c r="A109" s="248" t="s">
        <v>117</v>
      </c>
      <c r="B109" s="127">
        <f>Data!BR23</f>
        <v>247</v>
      </c>
      <c r="C109" s="127">
        <f>Data!BR35</f>
        <v>477</v>
      </c>
      <c r="D109" s="127">
        <f>Data!BR41</f>
        <v>303</v>
      </c>
      <c r="E109" s="286">
        <f t="shared" ref="E109:E112" si="9">IFERROR(IF(OR(AND(D109="",C109=""),AND(D109=0,C109=0)),"",
IF(OR(D109="",D109=0),1,
IF(OR(D109&lt;&gt;"",D109&lt;&gt;0),(C109-D109)/ABS(D109)))),-1)</f>
        <v>0.57425742574257421</v>
      </c>
      <c r="F109" s="127">
        <v>949</v>
      </c>
      <c r="G109" s="127">
        <v>809</v>
      </c>
      <c r="H109" s="127">
        <v>825</v>
      </c>
      <c r="I109" s="127">
        <v>1013</v>
      </c>
    </row>
    <row r="110" spans="1:9" ht="14.25" x14ac:dyDescent="0.2">
      <c r="A110" s="248" t="s">
        <v>146</v>
      </c>
      <c r="B110" s="127">
        <f>Data!BQ23</f>
        <v>143016</v>
      </c>
      <c r="C110" s="127">
        <f>Data!BQ35</f>
        <v>316435</v>
      </c>
      <c r="D110" s="127">
        <f>Data!BQ41</f>
        <v>149772</v>
      </c>
      <c r="E110" s="286">
        <f t="shared" si="9"/>
        <v>1.1127780893624977</v>
      </c>
      <c r="F110" s="127">
        <v>428713</v>
      </c>
      <c r="G110" s="127">
        <v>307322</v>
      </c>
      <c r="H110" s="127">
        <v>205539</v>
      </c>
      <c r="I110" s="127">
        <v>348297</v>
      </c>
    </row>
    <row r="111" spans="1:9" ht="14.25" x14ac:dyDescent="0.2">
      <c r="A111" s="248" t="s">
        <v>196</v>
      </c>
      <c r="B111" s="127">
        <f>Data!BP23/1000000</f>
        <v>15473.152373299999</v>
      </c>
      <c r="C111" s="127">
        <f>Data!BP35/1000000</f>
        <v>32602.70062938</v>
      </c>
      <c r="D111" s="127">
        <f>Data!BP41/1000000</f>
        <v>15384.962104959999</v>
      </c>
      <c r="E111" s="286">
        <f t="shared" si="9"/>
        <v>1.1191277825032229</v>
      </c>
      <c r="F111" s="127">
        <v>42643</v>
      </c>
      <c r="G111" s="127">
        <v>29060</v>
      </c>
      <c r="H111" s="127">
        <v>21987</v>
      </c>
      <c r="I111" s="127">
        <v>37202</v>
      </c>
    </row>
    <row r="112" spans="1:9" ht="15" thickBot="1" x14ac:dyDescent="0.25">
      <c r="A112" s="289" t="s">
        <v>144</v>
      </c>
      <c r="B112" s="128">
        <f>Data!BP29</f>
        <v>163600</v>
      </c>
      <c r="C112" s="128">
        <f>B112</f>
        <v>163600</v>
      </c>
      <c r="D112" s="128">
        <f>Data!BP47</f>
        <v>113852</v>
      </c>
      <c r="E112" s="291">
        <f t="shared" si="9"/>
        <v>0.43695323753645082</v>
      </c>
      <c r="F112" s="128">
        <v>140000</v>
      </c>
      <c r="G112" s="128">
        <v>97761</v>
      </c>
      <c r="H112" s="128">
        <v>36955</v>
      </c>
      <c r="I112" s="128">
        <v>75609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299"/>
      <c r="B117" s="280" t="s">
        <v>1</v>
      </c>
      <c r="C117" s="280" t="s">
        <v>179</v>
      </c>
      <c r="D117" s="280" t="s">
        <v>179</v>
      </c>
      <c r="E117" s="300" t="s">
        <v>13</v>
      </c>
      <c r="F117" s="309"/>
      <c r="G117" s="292"/>
      <c r="H117" s="299"/>
      <c r="I117" s="299"/>
    </row>
    <row r="118" spans="1:12" ht="15" x14ac:dyDescent="0.25">
      <c r="A118" s="299"/>
      <c r="B118" s="280" t="s">
        <v>3</v>
      </c>
      <c r="C118" s="280" t="s">
        <v>4</v>
      </c>
      <c r="D118" s="280" t="s">
        <v>4</v>
      </c>
      <c r="E118" s="300" t="s">
        <v>9</v>
      </c>
      <c r="F118" s="309"/>
      <c r="G118" s="292"/>
      <c r="H118" s="299"/>
      <c r="I118" s="299"/>
    </row>
    <row r="119" spans="1:12" ht="15.75" thickBot="1" x14ac:dyDescent="0.3">
      <c r="A119" s="301"/>
      <c r="B119" s="282" t="str">
        <f>TEXT($H$3,"MMM")&amp;" "&amp;TEXT($H$3,"YYYY")</f>
        <v>Apr 2019</v>
      </c>
      <c r="C119" s="282" t="str">
        <f>TEXT($H$3,"YYYY")</f>
        <v>2019</v>
      </c>
      <c r="D119" s="282">
        <f>TEXT($H$3,"YYYY")-1</f>
        <v>2018</v>
      </c>
      <c r="E119" s="284" t="s">
        <v>6</v>
      </c>
      <c r="F119" s="284">
        <f>TEXT($H$3,"YYYY")-1</f>
        <v>2018</v>
      </c>
      <c r="G119" s="294">
        <f>TEXT($H$3,"YYYY")-2</f>
        <v>2017</v>
      </c>
      <c r="H119" s="294">
        <f>TEXT($H$3,"YYYY")-3</f>
        <v>2016</v>
      </c>
      <c r="I119" s="294">
        <f>TEXT($H$3,"YYYY")-4</f>
        <v>2015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Data!BR50+ITaC!B24</f>
        <v>2900</v>
      </c>
      <c r="C121" s="249">
        <f>Data!BR60</f>
        <v>14434</v>
      </c>
      <c r="D121" s="249">
        <f>Data!BR66</f>
        <v>14348</v>
      </c>
      <c r="E121" s="286">
        <f t="shared" ref="E121:E123" si="10">IFERROR(IF(OR(AND(D121="",C121=""),AND(D121=0,C121=0)),"",
IF(OR(D121="",D121=0),1,
IF(OR(D121&lt;&gt;"",D121&lt;&gt;0),(C121-D121)/ABS(D121)))),-1)</f>
        <v>5.9938667410091998E-3</v>
      </c>
      <c r="F121" s="364">
        <v>51664</v>
      </c>
      <c r="G121" s="364">
        <v>65590</v>
      </c>
      <c r="H121" s="364">
        <v>66920</v>
      </c>
      <c r="I121" s="364">
        <v>57891</v>
      </c>
      <c r="J121" s="62"/>
    </row>
    <row r="122" spans="1:12" ht="14.25" x14ac:dyDescent="0.2">
      <c r="A122" s="248" t="s">
        <v>146</v>
      </c>
      <c r="B122" s="249">
        <f>Data!BQ50+ITaC!C24</f>
        <v>1865243</v>
      </c>
      <c r="C122" s="249">
        <f>Data!BQ60</f>
        <v>13463662</v>
      </c>
      <c r="D122" s="249">
        <f>Data!BQ66</f>
        <v>13535528</v>
      </c>
      <c r="E122" s="286">
        <f t="shared" si="10"/>
        <v>-5.3094345488406509E-3</v>
      </c>
      <c r="F122" s="364">
        <v>41807458</v>
      </c>
      <c r="G122" s="364">
        <v>47794037</v>
      </c>
      <c r="H122" s="364">
        <v>34293431</v>
      </c>
      <c r="I122" s="364">
        <v>33917069</v>
      </c>
      <c r="J122" s="62"/>
    </row>
    <row r="123" spans="1:12" ht="14.25" x14ac:dyDescent="0.2">
      <c r="A123" s="248" t="s">
        <v>119</v>
      </c>
      <c r="B123" s="249">
        <f>Data!BP50/1000000+ITaC!D24/1000000</f>
        <v>27344.01839075</v>
      </c>
      <c r="C123" s="249">
        <f>Data!BP60/1000000</f>
        <v>195922.3981583</v>
      </c>
      <c r="D123" s="249">
        <f>Data!BP66/1000000</f>
        <v>170052.06166398927</v>
      </c>
      <c r="E123" s="286">
        <f t="shared" si="10"/>
        <v>0.1521318603324473</v>
      </c>
      <c r="F123" s="364">
        <v>581025</v>
      </c>
      <c r="G123" s="364">
        <v>656092</v>
      </c>
      <c r="H123" s="364">
        <v>522169</v>
      </c>
      <c r="I123" s="364">
        <v>446203</v>
      </c>
      <c r="J123" s="62"/>
    </row>
    <row r="124" spans="1:12" ht="14.25" x14ac:dyDescent="0.2">
      <c r="A124" s="248" t="s">
        <v>144</v>
      </c>
      <c r="B124" s="249">
        <v>1594188</v>
      </c>
      <c r="C124" s="249">
        <f>B124</f>
        <v>1594188</v>
      </c>
      <c r="D124" s="249">
        <f>VLOOKUP("Future",Data!$BP$71:$BQ$73,2,FALSE)</f>
        <v>2296716</v>
      </c>
      <c r="E124" s="286">
        <f>IFERROR(IF(OR(AND(D124="",C124=""),AND(D124=0,C124=0)),"",
IF(OR(D124="",D124=0),1,
IF(OR(D124&lt;&gt;"",D124&lt;&gt;0),(C124-D124)/ABS(D124)))),-1)</f>
        <v>-0.3058837052556781</v>
      </c>
      <c r="F124" s="364">
        <v>1408969</v>
      </c>
      <c r="G124" s="364">
        <v>2066426</v>
      </c>
      <c r="H124" s="364">
        <v>1090978</v>
      </c>
      <c r="I124" s="364">
        <v>1414841</v>
      </c>
      <c r="J124" s="62"/>
    </row>
    <row r="125" spans="1:12" ht="14.25" x14ac:dyDescent="0.2">
      <c r="A125" s="248"/>
      <c r="B125" s="314"/>
      <c r="C125" s="314"/>
      <c r="D125" s="314"/>
      <c r="E125" s="248"/>
      <c r="F125" s="364"/>
      <c r="G125" s="364"/>
      <c r="H125" s="314"/>
      <c r="I125" s="314"/>
      <c r="J125" s="107"/>
      <c r="K125" s="172"/>
      <c r="L125" s="172"/>
    </row>
    <row r="126" spans="1:12" ht="15" x14ac:dyDescent="0.25">
      <c r="A126" s="288" t="s">
        <v>15</v>
      </c>
      <c r="B126" s="248"/>
      <c r="C126" s="314"/>
      <c r="D126" s="314"/>
      <c r="E126" s="288"/>
      <c r="F126" s="365"/>
      <c r="G126" s="364"/>
      <c r="H126" s="314"/>
      <c r="I126" s="315"/>
      <c r="J126" s="107"/>
      <c r="K126" s="172"/>
      <c r="L126" s="172"/>
    </row>
    <row r="127" spans="1:12" ht="14.25" x14ac:dyDescent="0.2">
      <c r="A127" s="248" t="s">
        <v>117</v>
      </c>
      <c r="B127" s="249">
        <f>Data!BR53+ITaC!B25</f>
        <v>128</v>
      </c>
      <c r="C127" s="249">
        <f>Data!BR63</f>
        <v>1138</v>
      </c>
      <c r="D127" s="249">
        <f>Data!BR69</f>
        <v>952</v>
      </c>
      <c r="E127" s="286">
        <f t="shared" ref="E127:E129" si="11">IFERROR(IF(OR(AND(D127="",C127=""),AND(D127=0,C127=0)),"",
IF(OR(D127="",D127=0),1,
IF(OR(D127&lt;&gt;"",D127&lt;&gt;0),(C127-D127)/ABS(D127)))),-1)</f>
        <v>0.1953781512605042</v>
      </c>
      <c r="F127" s="364">
        <v>3561</v>
      </c>
      <c r="G127" s="364">
        <v>4441</v>
      </c>
      <c r="H127" s="364">
        <v>3271</v>
      </c>
      <c r="I127" s="364">
        <v>2622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Data!BQ53+ITaC!C25</f>
        <v>1530480</v>
      </c>
      <c r="C128" s="249">
        <f>Data!BQ63</f>
        <v>12228057</v>
      </c>
      <c r="D128" s="249">
        <f>Data!BQ69</f>
        <v>8066305</v>
      </c>
      <c r="E128" s="286">
        <f t="shared" si="11"/>
        <v>0.51594280156775629</v>
      </c>
      <c r="F128" s="364">
        <v>32395827</v>
      </c>
      <c r="G128" s="364">
        <v>20574664</v>
      </c>
      <c r="H128" s="364">
        <v>14030889</v>
      </c>
      <c r="I128" s="364">
        <v>11251621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Data!BP53/1000000+ITaC!D25/1000000</f>
        <v>69763.758950599993</v>
      </c>
      <c r="C129" s="249">
        <f>Data!BP63/1000000</f>
        <v>181695.64710470001</v>
      </c>
      <c r="D129" s="249">
        <f>Data!BP69/1000000</f>
        <v>126965.67394312499</v>
      </c>
      <c r="E129" s="286">
        <f t="shared" si="11"/>
        <v>0.43106117946565331</v>
      </c>
      <c r="F129" s="364">
        <v>534906</v>
      </c>
      <c r="G129" s="364">
        <v>290641</v>
      </c>
      <c r="H129" s="364">
        <v>212036</v>
      </c>
      <c r="I129" s="364">
        <v>157773</v>
      </c>
      <c r="J129" s="133"/>
      <c r="K129" s="172"/>
      <c r="L129" s="172"/>
    </row>
    <row r="130" spans="1:12" ht="14.25" x14ac:dyDescent="0.2">
      <c r="A130" s="248" t="s">
        <v>144</v>
      </c>
      <c r="B130" s="249">
        <v>7640361</v>
      </c>
      <c r="C130" s="249">
        <f>MarketProfile!B130</f>
        <v>7640361</v>
      </c>
      <c r="D130" s="249">
        <f>VLOOKUP("Option",Data!$BP$71:$BQ$73,2,FALSE)</f>
        <v>3415060</v>
      </c>
      <c r="E130" s="286">
        <f>IFERROR(IF(OR(AND(D130="",C130=""),AND(D130=0,C130=0)),"",
IF(OR(D130="",D130=0),1,
IF(OR(D130&lt;&gt;"",D130&lt;&gt;0),(C130-D130)/ABS(D130)))),-1)</f>
        <v>1.2372552751635404</v>
      </c>
      <c r="F130" s="364">
        <v>5489721</v>
      </c>
      <c r="G130" s="364">
        <v>4526266</v>
      </c>
      <c r="H130" s="364">
        <v>1240499</v>
      </c>
      <c r="I130" s="364">
        <v>1917456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299"/>
      <c r="B134" s="280" t="s">
        <v>1</v>
      </c>
      <c r="C134" s="280" t="s">
        <v>179</v>
      </c>
      <c r="D134" s="280" t="s">
        <v>179</v>
      </c>
      <c r="E134" s="300" t="s">
        <v>13</v>
      </c>
      <c r="F134" s="309"/>
      <c r="G134" s="292"/>
      <c r="H134" s="299"/>
      <c r="I134" s="299"/>
    </row>
    <row r="135" spans="1:12" ht="15" x14ac:dyDescent="0.25">
      <c r="A135" s="299"/>
      <c r="B135" s="280" t="s">
        <v>3</v>
      </c>
      <c r="C135" s="280" t="s">
        <v>4</v>
      </c>
      <c r="D135" s="280" t="s">
        <v>4</v>
      </c>
      <c r="E135" s="300" t="s">
        <v>9</v>
      </c>
      <c r="F135" s="309"/>
      <c r="G135" s="292"/>
      <c r="H135" s="299"/>
      <c r="I135" s="299"/>
    </row>
    <row r="136" spans="1:12" ht="15.75" thickBot="1" x14ac:dyDescent="0.3">
      <c r="A136" s="301"/>
      <c r="B136" s="282" t="str">
        <f>TEXT($H$3,"MMM")&amp;" "&amp;TEXT($H$3,"YYYY")</f>
        <v>Apr 2019</v>
      </c>
      <c r="C136" s="282" t="str">
        <f>TEXT($H$3,"YYYY")</f>
        <v>2019</v>
      </c>
      <c r="D136" s="282">
        <f>TEXT($H$3,"YYYY")-1</f>
        <v>2018</v>
      </c>
      <c r="E136" s="284" t="s">
        <v>6</v>
      </c>
      <c r="F136" s="284">
        <f>TEXT($H$3,"YYYY")-1</f>
        <v>2018</v>
      </c>
      <c r="G136" s="294">
        <f>TEXT($H$3,"YYYY")-2</f>
        <v>2017</v>
      </c>
      <c r="H136" s="294">
        <f>TEXT($H$3,"YYYY")-3</f>
        <v>2016</v>
      </c>
      <c r="I136" s="294">
        <f>TEXT($H$3,"YYYY")-4</f>
        <v>2015</v>
      </c>
    </row>
    <row r="137" spans="1:12" ht="15" x14ac:dyDescent="0.25">
      <c r="A137" s="288" t="s">
        <v>14</v>
      </c>
      <c r="B137" s="316"/>
      <c r="C137" s="316"/>
      <c r="D137" s="316"/>
      <c r="E137" s="311"/>
      <c r="F137" s="311"/>
      <c r="G137" s="317"/>
      <c r="H137" s="317"/>
      <c r="I137" s="317"/>
    </row>
    <row r="138" spans="1:12" ht="14.25" x14ac:dyDescent="0.2">
      <c r="A138" s="248" t="s">
        <v>117</v>
      </c>
      <c r="B138" s="249">
        <f>SUMIFS(Data!$AC:$AC,Data!$AE:$AE,"1")</f>
        <v>28272</v>
      </c>
      <c r="C138" s="249">
        <f>Data!BR76</f>
        <v>122325</v>
      </c>
      <c r="D138" s="249">
        <f>Data!BR82</f>
        <v>125064</v>
      </c>
      <c r="E138" s="286">
        <f>IFERROR(IF(OR(AND(D138="",C138=""),AND(D138=0,C138=0)),"",
IF(OR(D138="",D138=0),1,
IF(OR(D138&lt;&gt;"",D138&lt;&gt;0),(C138-D138)/ABS(D138)))),-1)</f>
        <v>-2.1900786797159854E-2</v>
      </c>
      <c r="F138" s="364">
        <v>401483</v>
      </c>
      <c r="G138" s="364">
        <v>345698</v>
      </c>
      <c r="H138" s="364">
        <v>343265</v>
      </c>
      <c r="I138" s="364">
        <v>319935</v>
      </c>
    </row>
    <row r="139" spans="1:12" ht="14.25" x14ac:dyDescent="0.2">
      <c r="A139" s="248" t="s">
        <v>142</v>
      </c>
      <c r="B139" s="249">
        <f>SUMIFS(Data!$AB:$AB,Data!$AE:$AE,"1")/1000</f>
        <v>207.476</v>
      </c>
      <c r="C139" s="249">
        <f>Data!BQ76</f>
        <v>885625</v>
      </c>
      <c r="D139" s="249">
        <f>Data!BQ82</f>
        <v>893680</v>
      </c>
      <c r="E139" s="286">
        <f t="shared" ref="E139:E141" si="12">IFERROR(IF(OR(AND(D139="",C139=""),AND(D139=0,C139=0)),"",
IF(OR(D139="",D139=0),1,
IF(OR(D139&lt;&gt;"",D139&lt;&gt;0),(C139-D139)/ABS(D139)))),-1)</f>
        <v>-9.0132933488496995E-3</v>
      </c>
      <c r="F139" s="364">
        <v>3080836</v>
      </c>
      <c r="G139" s="364">
        <v>2718</v>
      </c>
      <c r="H139" s="364">
        <v>2955</v>
      </c>
      <c r="I139" s="364">
        <v>2956</v>
      </c>
    </row>
    <row r="140" spans="1:12" ht="14.25" x14ac:dyDescent="0.2">
      <c r="A140" s="248" t="s">
        <v>119</v>
      </c>
      <c r="B140" s="249">
        <f>SUMIFS(Data!$AA:$AA,Data!$AE:$AE,"1")/1000000</f>
        <v>51625.268641579001</v>
      </c>
      <c r="C140" s="249">
        <f>Data!BP76/1000000</f>
        <v>226374.68777177695</v>
      </c>
      <c r="D140" s="249">
        <f>Data!BP82/1000000</f>
        <v>179578.67066574996</v>
      </c>
      <c r="E140" s="286">
        <f t="shared" si="12"/>
        <v>0.26058783558504278</v>
      </c>
      <c r="F140" s="364">
        <v>674379</v>
      </c>
      <c r="G140" s="364">
        <v>566037</v>
      </c>
      <c r="H140" s="364">
        <v>943312</v>
      </c>
      <c r="I140" s="364">
        <v>736984</v>
      </c>
    </row>
    <row r="141" spans="1:12" ht="14.25" x14ac:dyDescent="0.2">
      <c r="A141" s="248" t="s">
        <v>144</v>
      </c>
      <c r="B141" s="249">
        <f>SUMIFS(Data!$AK:$AK,Data!$AL:$AL,"1")</f>
        <v>91123</v>
      </c>
      <c r="C141" s="249">
        <f>B141</f>
        <v>91123</v>
      </c>
      <c r="D141" s="249">
        <f>Data!BP88</f>
        <v>116935</v>
      </c>
      <c r="E141" s="286">
        <f t="shared" si="12"/>
        <v>-0.22073801684696626</v>
      </c>
      <c r="F141" s="364">
        <v>111034</v>
      </c>
      <c r="G141" s="364">
        <v>117783</v>
      </c>
      <c r="H141" s="364">
        <v>65553</v>
      </c>
      <c r="I141" s="364">
        <v>89089</v>
      </c>
    </row>
    <row r="142" spans="1:12" ht="14.25" x14ac:dyDescent="0.2">
      <c r="A142" s="248"/>
      <c r="B142" s="249"/>
      <c r="C142" s="249"/>
      <c r="D142" s="249"/>
      <c r="E142" s="248"/>
      <c r="F142" s="364"/>
      <c r="G142" s="364"/>
      <c r="H142" s="364"/>
      <c r="I142" s="364"/>
    </row>
    <row r="143" spans="1:12" ht="15" x14ac:dyDescent="0.25">
      <c r="A143" s="288" t="s">
        <v>15</v>
      </c>
      <c r="B143" s="249"/>
      <c r="C143" s="249"/>
      <c r="D143" s="249"/>
      <c r="E143" s="248"/>
      <c r="F143" s="364"/>
      <c r="G143" s="364"/>
      <c r="H143" s="364"/>
      <c r="I143" s="364"/>
    </row>
    <row r="144" spans="1:12" ht="14.25" x14ac:dyDescent="0.2">
      <c r="A144" s="248" t="s">
        <v>117</v>
      </c>
      <c r="B144" s="249">
        <f>SUMIFS(Data!$AC:$AC,Data!$AE:$AE,"0")</f>
        <v>1819</v>
      </c>
      <c r="C144" s="249">
        <f>Data!BR79</f>
        <v>13076</v>
      </c>
      <c r="D144" s="249">
        <f>Data!BR85</f>
        <v>9927</v>
      </c>
      <c r="E144" s="286">
        <f>IFERROR(IF(OR(AND(D144="",C144=""),AND(D144=0,C144=0)),"",
IF(OR(D144="",D144=0),1,
IF(OR(D144&lt;&gt;"",D144&lt;&gt;0),(C144-D144)/ABS(D144)))),-1)</f>
        <v>0.31721567442329002</v>
      </c>
      <c r="F144" s="364">
        <v>34033</v>
      </c>
      <c r="G144" s="364">
        <v>30024</v>
      </c>
      <c r="H144" s="364">
        <v>43815</v>
      </c>
      <c r="I144" s="364">
        <v>42966</v>
      </c>
    </row>
    <row r="145" spans="1:10" ht="14.25" x14ac:dyDescent="0.2">
      <c r="A145" s="248" t="s">
        <v>142</v>
      </c>
      <c r="B145" s="249">
        <f>SUMIFS(Data!$AB:$AB,Data!$AE:$AE,"0")/1000</f>
        <v>28.689</v>
      </c>
      <c r="C145" s="249">
        <f>Data!BQ79</f>
        <v>136536</v>
      </c>
      <c r="D145" s="249">
        <f>Data!BQ85</f>
        <v>97688</v>
      </c>
      <c r="E145" s="286">
        <f t="shared" ref="E145:E146" si="13">IFERROR(IF(OR(AND(D145="",C145=""),AND(D145=0,C145=0)),"",
IF(OR(D145="",D145=0),1,
IF(OR(D145&lt;&gt;"",D145&lt;&gt;0),(C145-D145)/ABS(D145)))),-1)</f>
        <v>0.39767422815494224</v>
      </c>
      <c r="F145" s="364">
        <v>351110</v>
      </c>
      <c r="G145" s="364">
        <v>291</v>
      </c>
      <c r="H145" s="364">
        <v>471</v>
      </c>
      <c r="I145" s="364">
        <v>544</v>
      </c>
    </row>
    <row r="146" spans="1:10" ht="14.25" x14ac:dyDescent="0.2">
      <c r="A146" s="248" t="s">
        <v>119</v>
      </c>
      <c r="B146" s="249">
        <f>SUMIFS(Data!$AA:$AA,Data!$AE:$AE,"0")/1000000</f>
        <v>232.57250787999999</v>
      </c>
      <c r="C146" s="249">
        <f>Data!BP79/1000000</f>
        <v>2752.9394003799903</v>
      </c>
      <c r="D146" s="249">
        <f>Data!BP85/1000000</f>
        <v>715.67578435998996</v>
      </c>
      <c r="E146" s="286">
        <f t="shared" si="13"/>
        <v>2.8466292426561166</v>
      </c>
      <c r="F146" s="364">
        <v>4094</v>
      </c>
      <c r="G146" s="364">
        <v>3233</v>
      </c>
      <c r="H146" s="364">
        <v>14527</v>
      </c>
      <c r="I146" s="364">
        <v>12378</v>
      </c>
    </row>
    <row r="147" spans="1:10" ht="14.25" x14ac:dyDescent="0.2">
      <c r="A147" s="248" t="s">
        <v>144</v>
      </c>
      <c r="B147" s="249">
        <f>SUMIFS(Data!$AK:$AK,Data!$AL:$AL,"0")</f>
        <v>55145</v>
      </c>
      <c r="C147" s="249">
        <f>B147</f>
        <v>55145</v>
      </c>
      <c r="D147" s="249">
        <f>Data!BP91</f>
        <v>49357</v>
      </c>
      <c r="E147" s="286">
        <f>IFERROR(IF(OR(AND(D147="",C147=""),AND(D147=0,C147=0)),"",
IF(OR(D147="",D147=0),1,
IF(OR(D147&lt;&gt;"",D147&lt;&gt;0),(C147-D147)/ABS(D147)))),-1)</f>
        <v>0.11726806734607047</v>
      </c>
      <c r="F147" s="364">
        <v>71176</v>
      </c>
      <c r="G147" s="364">
        <v>50578</v>
      </c>
      <c r="H147" s="364">
        <v>36968</v>
      </c>
      <c r="I147" s="364">
        <v>87294</v>
      </c>
    </row>
    <row r="148" spans="1:10" x14ac:dyDescent="0.2">
      <c r="B148" s="3"/>
    </row>
    <row r="149" spans="1:10" ht="12.75" customHeight="1" x14ac:dyDescent="0.2">
      <c r="B149" s="3"/>
      <c r="F149" s="398" t="s">
        <v>200</v>
      </c>
      <c r="G149" s="398"/>
      <c r="H149" s="398"/>
      <c r="I149" s="125"/>
    </row>
    <row r="150" spans="1:10" ht="12.75" customHeight="1" x14ac:dyDescent="0.2">
      <c r="B150" s="3"/>
      <c r="F150" s="398"/>
      <c r="G150" s="398"/>
      <c r="H150" s="398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09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4"/>
      <c r="B153" s="282" t="str">
        <f>TEXT($H$3,"MMM")&amp;" "&amp;TEXT($H$3,"YYYY")</f>
        <v>Apr 2019</v>
      </c>
      <c r="C153" s="282" t="str">
        <f>TEXT(DATE(2000,TEXT(H3,"M")-1,1),"mmm")&amp; " "&amp; TEXT(H3,"YYYY")</f>
        <v>Mar 2019</v>
      </c>
      <c r="D153" s="284" t="s">
        <v>121</v>
      </c>
      <c r="E153" s="282"/>
      <c r="F153" s="282"/>
      <c r="G153" s="282" t="str">
        <f>TEXT($H$3,"MMM")&amp;" "&amp;TEXT($H$3,"YYYY")</f>
        <v>Apr 2019</v>
      </c>
      <c r="H153" s="282" t="str">
        <f>TEXT($H$3,"MMM")&amp;" "&amp;TEXT($H$3,"YYYY")-1</f>
        <v>Apr 2018</v>
      </c>
      <c r="I153" s="284" t="s">
        <v>121</v>
      </c>
      <c r="J153" s="161"/>
    </row>
    <row r="154" spans="1:10" ht="14.25" x14ac:dyDescent="0.2">
      <c r="A154" s="248" t="s">
        <v>122</v>
      </c>
      <c r="B154" s="321">
        <f>VLOOKUP("ABuy",Data!$J$1:$M$5,4,FALSE)/1000000</f>
        <v>126753.62660731953</v>
      </c>
      <c r="C154" s="321">
        <f>VLOOKUP("ABuy",Data!$J$7:$M$11,4,FALSE)/1000000</f>
        <v>173032.16053075076</v>
      </c>
      <c r="D154" s="186">
        <f>((B154/C154)-1)</f>
        <v>-0.26745625657957817</v>
      </c>
      <c r="E154" s="321"/>
      <c r="F154" s="321"/>
      <c r="G154" s="321">
        <f>VLOOKUP("Abuy",Data!$J$13:$M$17,4,FALSE)/1000000</f>
        <v>119993.83037863001</v>
      </c>
      <c r="H154" s="321">
        <f>VLOOKUP("Abuy",Data!$J$19:$M$23,4,FALSE)/1000000</f>
        <v>157957.67262411999</v>
      </c>
      <c r="I154" s="200">
        <f>((G154/H154)-1)</f>
        <v>-0.24034186889945941</v>
      </c>
      <c r="J154" s="161"/>
    </row>
    <row r="155" spans="1:10" ht="14.25" x14ac:dyDescent="0.2">
      <c r="A155" s="248" t="s">
        <v>123</v>
      </c>
      <c r="B155" s="321">
        <f>VLOOKUP("ASell",Data!$J$1:$M$5,4,FALSE)/1000000</f>
        <v>130169.0600045852</v>
      </c>
      <c r="C155" s="321">
        <f>VLOOKUP("Asell",Data!$J$7:$M$11,4,FALSE)/1000000</f>
        <v>178674.66916397723</v>
      </c>
      <c r="D155" s="200">
        <f t="shared" ref="D155:D157" si="14">((B155/C155)-1)</f>
        <v>-0.2714744590621091</v>
      </c>
      <c r="E155" s="321"/>
      <c r="F155" s="321"/>
      <c r="G155" s="321">
        <f>VLOOKUP("Asell",Data!$J$13:$M$17,4,FALSE)/1000000</f>
        <v>123913.89483555</v>
      </c>
      <c r="H155" s="321">
        <f>VLOOKUP("Asell",Data!$J$19:$M$23,4,FALSE)/1000000</f>
        <v>163905.24833258</v>
      </c>
      <c r="I155" s="200">
        <f t="shared" ref="I155:I157" si="15">((G155/H155)-1)</f>
        <v>-0.24399068305539295</v>
      </c>
      <c r="J155" s="161"/>
    </row>
    <row r="156" spans="1:10" ht="14.25" x14ac:dyDescent="0.2">
      <c r="A156" s="248" t="s">
        <v>124</v>
      </c>
      <c r="B156" s="321">
        <f>VLOOKUP("PBuy",Data!$J$1:$M$5,4,FALSE)/1000000</f>
        <v>224892.27309662229</v>
      </c>
      <c r="C156" s="321">
        <f>VLOOKUP("Pbuy",Data!$J$7:$M$11,4,FALSE)/1000000</f>
        <v>295164.077549215</v>
      </c>
      <c r="D156" s="200">
        <f t="shared" si="14"/>
        <v>-0.23807708931272553</v>
      </c>
      <c r="E156" s="321"/>
      <c r="F156" s="321"/>
      <c r="G156" s="321">
        <f>VLOOKUP("Pbuy",Data!$J$13:$M$17,4,FALSE)/1000000</f>
        <v>214342.20341231002</v>
      </c>
      <c r="H156" s="321">
        <f>VLOOKUP("Pbuy",Data!$J$19:$M$23,4,FALSE)/1000000</f>
        <v>285770.0516457</v>
      </c>
      <c r="I156" s="200">
        <f t="shared" si="15"/>
        <v>-0.24994868364284306</v>
      </c>
      <c r="J156" s="161"/>
    </row>
    <row r="157" spans="1:10" ht="14.25" x14ac:dyDescent="0.2">
      <c r="A157" s="248" t="s">
        <v>125</v>
      </c>
      <c r="B157" s="321">
        <f>VLOOKUP("PSell",Data!$J$1:$M$5,4,FALSE)/1000000</f>
        <v>221476.83969935658</v>
      </c>
      <c r="C157" s="321">
        <f>VLOOKUP("Psell",Data!$J$7:$M$11,4,FALSE)/1000000</f>
        <v>289521.56891598861</v>
      </c>
      <c r="D157" s="200">
        <f t="shared" si="14"/>
        <v>-0.23502473225536014</v>
      </c>
      <c r="E157" s="321"/>
      <c r="F157" s="321"/>
      <c r="G157" s="321">
        <f>VLOOKUP("Psell",Data!$J$13:$M$17,4,FALSE)/1000000</f>
        <v>210422.13895539002</v>
      </c>
      <c r="H157" s="321">
        <f>VLOOKUP("Psell",Data!$J$19:$M$23,4,FALSE)/1000000</f>
        <v>279822.47593724</v>
      </c>
      <c r="I157" s="200">
        <f t="shared" si="15"/>
        <v>-0.24801559184765209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4"/>
      <c r="B160" s="284" t="s">
        <v>127</v>
      </c>
      <c r="C160" s="284" t="s">
        <v>4</v>
      </c>
      <c r="D160" s="410" t="s">
        <v>128</v>
      </c>
      <c r="E160" s="410"/>
      <c r="F160" s="284" t="s">
        <v>129</v>
      </c>
      <c r="G160" s="406" t="s">
        <v>130</v>
      </c>
      <c r="H160" s="406"/>
      <c r="I160" s="284" t="s">
        <v>28</v>
      </c>
      <c r="J160" s="161"/>
    </row>
    <row r="161" spans="1:10" ht="15" x14ac:dyDescent="0.25">
      <c r="A161" s="288"/>
      <c r="B161" s="311"/>
      <c r="C161" s="311"/>
      <c r="D161" s="311"/>
      <c r="E161" s="311"/>
      <c r="F161" s="311"/>
      <c r="G161" s="311"/>
      <c r="H161" s="248"/>
      <c r="I161" s="311"/>
      <c r="J161" s="161"/>
    </row>
    <row r="162" spans="1:10" ht="14.25" x14ac:dyDescent="0.2">
      <c r="A162" s="248" t="s">
        <v>117</v>
      </c>
      <c r="B162" s="206">
        <v>667996</v>
      </c>
      <c r="C162" s="333">
        <v>42349</v>
      </c>
      <c r="D162" s="409">
        <v>1959547</v>
      </c>
      <c r="E162" s="409"/>
      <c r="F162" s="333">
        <v>42349</v>
      </c>
      <c r="G162" s="409">
        <v>7331360</v>
      </c>
      <c r="H162" s="409"/>
      <c r="I162" s="198" t="s">
        <v>533</v>
      </c>
    </row>
    <row r="163" spans="1:10" ht="14.25" x14ac:dyDescent="0.2">
      <c r="A163" s="248" t="s">
        <v>523</v>
      </c>
      <c r="B163" s="366">
        <v>1762606</v>
      </c>
      <c r="C163" s="372">
        <v>43439</v>
      </c>
      <c r="D163" s="409">
        <f>2513652909/1000000</f>
        <v>2513.6529089999999</v>
      </c>
      <c r="E163" s="409"/>
      <c r="F163" s="333">
        <v>42349</v>
      </c>
      <c r="G163" s="409">
        <v>9748834</v>
      </c>
      <c r="H163" s="409"/>
      <c r="I163" s="205" t="s">
        <v>131</v>
      </c>
    </row>
    <row r="164" spans="1:10" ht="14.25" x14ac:dyDescent="0.2">
      <c r="A164" s="248" t="s">
        <v>522</v>
      </c>
      <c r="B164" s="366">
        <v>74815</v>
      </c>
      <c r="C164" s="372">
        <v>43090</v>
      </c>
      <c r="D164" s="409">
        <v>165827</v>
      </c>
      <c r="E164" s="409"/>
      <c r="F164" s="333">
        <v>42631</v>
      </c>
      <c r="G164" s="409">
        <v>612552</v>
      </c>
      <c r="H164" s="409"/>
      <c r="I164" s="205" t="s">
        <v>533</v>
      </c>
    </row>
    <row r="165" spans="1:10" ht="14.25" x14ac:dyDescent="0.2">
      <c r="A165" s="248" t="s">
        <v>498</v>
      </c>
      <c r="B165" s="199">
        <v>16176.59</v>
      </c>
      <c r="C165" s="372">
        <v>43039</v>
      </c>
      <c r="D165" s="206"/>
      <c r="E165" s="205"/>
      <c r="F165" s="206"/>
      <c r="G165" s="205"/>
      <c r="H165" s="304"/>
      <c r="I165" s="304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Apr 2019</v>
      </c>
      <c r="G177" s="125"/>
      <c r="H177" s="125"/>
    </row>
    <row r="178" spans="1:11" ht="12.75" customHeight="1" x14ac:dyDescent="0.2">
      <c r="F178" s="398" t="s">
        <v>200</v>
      </c>
      <c r="G178" s="398"/>
      <c r="H178" s="398"/>
    </row>
    <row r="179" spans="1:11" x14ac:dyDescent="0.2">
      <c r="F179" s="398"/>
      <c r="G179" s="398"/>
      <c r="H179" s="398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March 2019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8"/>
      <c r="F182" s="418" t="s">
        <v>209</v>
      </c>
      <c r="G182" s="418"/>
      <c r="H182" s="418"/>
      <c r="I182" s="418"/>
    </row>
    <row r="183" spans="1:11" ht="15.75" thickBot="1" x14ac:dyDescent="0.3">
      <c r="A183" s="294"/>
      <c r="B183" s="319" t="str">
        <f>TEXT(DATE(2000,TEXT(H3,"M")-1,1),"mmm")&amp; " "&amp; TEXT(H3,"YYYY")</f>
        <v>Mar 2019</v>
      </c>
      <c r="C183" s="284" t="s">
        <v>16</v>
      </c>
      <c r="D183" s="319" t="str">
        <f>TEXT(DATE(2000,TEXT(H3,"M")-1,1),"mmm")&amp; " "&amp; TEXT(H3,"YYYY")-1</f>
        <v>Mar 2018</v>
      </c>
      <c r="E183" s="320" t="s">
        <v>16</v>
      </c>
      <c r="F183" s="294">
        <f>TEXT($H$3,"YYYY")-1</f>
        <v>2018</v>
      </c>
      <c r="G183" s="284">
        <f>TEXT($H$3,"YYYY")-2</f>
        <v>2017</v>
      </c>
      <c r="H183" s="294">
        <f>TEXT($H$3,"YYYY")-3</f>
        <v>2016</v>
      </c>
      <c r="I183" s="284">
        <f>TEXT($H$3,"YYYY")-4</f>
        <v>2015</v>
      </c>
    </row>
    <row r="184" spans="1:11" ht="14.25" x14ac:dyDescent="0.2">
      <c r="A184" s="248" t="s">
        <v>17</v>
      </c>
      <c r="B184" s="367">
        <v>958208.02555910498</v>
      </c>
      <c r="C184" s="343">
        <v>18</v>
      </c>
      <c r="D184" s="367">
        <v>1191731.1086844299</v>
      </c>
      <c r="E184" s="343">
        <v>17</v>
      </c>
      <c r="F184" s="304">
        <v>19</v>
      </c>
      <c r="G184" s="343">
        <v>17</v>
      </c>
      <c r="H184" s="304">
        <v>18</v>
      </c>
      <c r="I184" s="343">
        <v>17</v>
      </c>
      <c r="K184" s="126"/>
    </row>
    <row r="185" spans="1:11" ht="14.25" x14ac:dyDescent="0.2">
      <c r="A185" s="248" t="s">
        <v>18</v>
      </c>
      <c r="B185" s="367">
        <v>32265.141376482512</v>
      </c>
      <c r="C185" s="343">
        <v>19</v>
      </c>
      <c r="D185" s="367">
        <v>45471.848202419314</v>
      </c>
      <c r="E185" s="343">
        <v>19</v>
      </c>
      <c r="F185" s="304">
        <v>19</v>
      </c>
      <c r="G185" s="343">
        <v>20</v>
      </c>
      <c r="H185" s="304">
        <v>20</v>
      </c>
      <c r="I185" s="343">
        <v>24</v>
      </c>
      <c r="K185" s="262"/>
    </row>
    <row r="186" spans="1:11" ht="14.25" x14ac:dyDescent="0.2">
      <c r="A186" s="248" t="s">
        <v>164</v>
      </c>
      <c r="B186" s="361">
        <v>0.34905246467983891</v>
      </c>
      <c r="C186" s="343">
        <v>25</v>
      </c>
      <c r="D186" s="361">
        <v>0.42284728726285009</v>
      </c>
      <c r="E186" s="343">
        <v>26</v>
      </c>
      <c r="F186" s="304">
        <v>25</v>
      </c>
      <c r="G186" s="343">
        <v>30</v>
      </c>
      <c r="H186" s="304">
        <v>22</v>
      </c>
      <c r="I186" s="343">
        <v>29</v>
      </c>
      <c r="K186" s="262"/>
    </row>
    <row r="187" spans="1:11" ht="14.25" x14ac:dyDescent="0.2">
      <c r="A187" s="248" t="s">
        <v>165</v>
      </c>
      <c r="B187" s="361">
        <v>0.38295139250671706</v>
      </c>
      <c r="C187" s="343">
        <v>24</v>
      </c>
      <c r="D187" s="361">
        <v>0.42230070120931951</v>
      </c>
      <c r="E187" s="343">
        <v>26</v>
      </c>
      <c r="F187" s="304">
        <v>30</v>
      </c>
      <c r="G187" s="343">
        <v>25</v>
      </c>
      <c r="H187" s="304">
        <v>22</v>
      </c>
      <c r="I187" s="343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2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2"/>
      <c r="G195" s="281"/>
      <c r="H195" s="281"/>
      <c r="I195" s="281"/>
    </row>
    <row r="196" spans="1:9" ht="15.75" thickBot="1" x14ac:dyDescent="0.3">
      <c r="A196" s="294"/>
      <c r="B196" s="282" t="str">
        <f>TEXT($H$3,"MMM")&amp;" "&amp;TEXT($H$3,"YYYY")</f>
        <v>Apr 2019</v>
      </c>
      <c r="C196" s="282" t="str">
        <f>TEXT($H$3,"YYYY")</f>
        <v>2019</v>
      </c>
      <c r="D196" s="282">
        <f>TEXT($H$3,"YYYY")-1</f>
        <v>2018</v>
      </c>
      <c r="E196" s="284" t="s">
        <v>6</v>
      </c>
      <c r="F196" s="284">
        <f>TEXT($H$3,"YYYY")-1</f>
        <v>2018</v>
      </c>
      <c r="G196" s="284">
        <f>TEXT($H$3,"YYYY")-2</f>
        <v>2017</v>
      </c>
      <c r="H196" s="284">
        <f>TEXT($H$3,"YYYY")-3</f>
        <v>2016</v>
      </c>
      <c r="I196" s="284">
        <f>TEXT($H$3,"YYYY")-4</f>
        <v>2015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59">
        <f>SUMIF(Data!$DJ$1:$DJ$15,"AS",Data!$DK$1:$DK$15)/1000000</f>
        <v>773.07430835000002</v>
      </c>
      <c r="D197" s="359">
        <f>SUMIF(Data!$DM$1:$DM$15,"AS",Data!$DN$1:$DN$15)/1000000</f>
        <v>1288.7453455799998</v>
      </c>
      <c r="E197" s="361">
        <f>IFERROR(IF(OR(AND(D197="",C197=""),AND(D197=0,C197=0)),0,
IF(OR(D197="",D197=0),1,
IF(OR(D197&lt;&gt;"",D197&lt;&gt;0),(C197-D197)/ABS(D197)))),-1)</f>
        <v>-0.40013416071576346</v>
      </c>
      <c r="F197" s="366">
        <v>5231</v>
      </c>
      <c r="G197" s="367">
        <v>23315</v>
      </c>
      <c r="H197" s="367">
        <v>13085</v>
      </c>
      <c r="I197" s="367">
        <v>93130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0</v>
      </c>
      <c r="C198" s="359">
        <f>(SUMIF(Data!$DJ$1:$DJ$15,"RT",Data!$DK$1:$DK$15)+SUMIF(Data!$DJ$1:$DJ$15,"TU",Data!$DK$1:$DK$15))/1000000</f>
        <v>1161.1092679999999</v>
      </c>
      <c r="D198" s="359">
        <f>(SUMIF(Data!$DM$1:$DM$15,"RT",Data!$DN$1:$DN$15)+SUMIF(Data!$DM$1:$DM$15,"TU",Data!$DN$1:$DN$15))/1000000</f>
        <v>1495.23439983</v>
      </c>
      <c r="E198" s="361">
        <f t="shared" ref="E198:E201" si="16">IFERROR(IF(OR(AND(D198="",C198=""),AND(D198=0,C198=0)),0,
IF(OR(D198="",D198=0),1,
IF(OR(D198&lt;&gt;"",D198&lt;&gt;0),(C198-D198)/ABS(D198)))),-1)</f>
        <v>-0.22346003534160819</v>
      </c>
      <c r="F198" s="366">
        <v>5097</v>
      </c>
      <c r="G198" s="367">
        <v>32688</v>
      </c>
      <c r="H198" s="367">
        <v>24160</v>
      </c>
      <c r="I198" s="367">
        <v>35842</v>
      </c>
    </row>
    <row r="199" spans="1:9" ht="14.25" x14ac:dyDescent="0.2">
      <c r="A199" s="248" t="s">
        <v>176</v>
      </c>
      <c r="B199" s="195">
        <v>0</v>
      </c>
      <c r="C199" s="359">
        <v>0</v>
      </c>
      <c r="D199" s="359">
        <v>0</v>
      </c>
      <c r="E199" s="361">
        <f t="shared" si="16"/>
        <v>0</v>
      </c>
      <c r="F199" s="366" t="s">
        <v>534</v>
      </c>
      <c r="G199" s="185" t="s">
        <v>535</v>
      </c>
      <c r="H199" s="185" t="s">
        <v>536</v>
      </c>
      <c r="I199" s="185" t="s">
        <v>537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523.98092282000005</v>
      </c>
      <c r="C200" s="359">
        <f>(SUMIF(Data!$DJ$1:$DJ$15,"SO",Data!$DK$1:$DK$15)+SUMIF(Data!$DJ$1:$DJ$15,"SS",Data!$DK$1:$DK$15))/1000000</f>
        <v>1725.2601193799999</v>
      </c>
      <c r="D200" s="359">
        <f>(SUMIF(Data!$DM$1:$DM$15,"SO",Data!$DN$1:$DN$15)+SUMIF(Data!$DM$1:$DM$15,"SS",Data!$DN$1:$DN$15))/1000000</f>
        <v>1610.6292189800001</v>
      </c>
      <c r="E200" s="361">
        <f t="shared" si="16"/>
        <v>7.1171501826220854E-2</v>
      </c>
      <c r="F200" s="366">
        <v>6461</v>
      </c>
      <c r="G200" s="367">
        <v>9468</v>
      </c>
      <c r="H200" s="367">
        <v>9374</v>
      </c>
      <c r="I200" s="367">
        <v>11688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4222.1355363299999</v>
      </c>
      <c r="C201" s="359">
        <f>(SUMIF(Data!$DJ$1:$DJ$15,"SI",Data!$DK$1:$DK$15)+SUMIF(Data!$DJ$1:$DJ$15,"GI",Data!$DK$1:$DK$15))/1000000</f>
        <v>15070.15301855</v>
      </c>
      <c r="D201" s="359">
        <f>(SUMIF(Data!$DM$1:$DM$15,"SI",Data!$DN$1:$DN$15)+SUMIF(Data!$DM$1:$DM$15,"GI",Data!$DN$1:$DN$15))/1000000</f>
        <v>11269.078648299999</v>
      </c>
      <c r="E201" s="361">
        <f t="shared" si="16"/>
        <v>0.33730125495427371</v>
      </c>
      <c r="F201" s="366">
        <v>38830</v>
      </c>
      <c r="G201" s="367">
        <v>35048</v>
      </c>
      <c r="H201" s="367">
        <v>69649</v>
      </c>
      <c r="I201" s="367">
        <v>109530</v>
      </c>
    </row>
    <row r="202" spans="1:9" ht="15" x14ac:dyDescent="0.25">
      <c r="A202" s="288" t="s">
        <v>25</v>
      </c>
      <c r="B202" s="360">
        <f>SUM(B197:B201)</f>
        <v>4746.1164591500001</v>
      </c>
      <c r="C202" s="360">
        <f>SUM(C197:C201)</f>
        <v>18729.59671428</v>
      </c>
      <c r="D202" s="360">
        <f>SUM(D197:D201)</f>
        <v>15663.687612689999</v>
      </c>
      <c r="E202" s="362">
        <f>IFERROR(IF(OR(AND(D202="",C202=""),AND(D202=0,C202=0)),0,
IF(OR(D202="",D202=0),1,
IF(OR(D202&lt;&gt;"",D202&lt;&gt;0),(C202-D202)/ABS(D202)))),-1)</f>
        <v>0.19573354483309172</v>
      </c>
      <c r="F202" s="373">
        <v>55620</v>
      </c>
      <c r="G202" s="373">
        <v>100520</v>
      </c>
      <c r="H202" s="373">
        <v>116269</v>
      </c>
      <c r="I202" s="373">
        <v>250190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2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2"/>
      <c r="G208" s="281"/>
      <c r="H208" s="281"/>
      <c r="I208" s="281"/>
    </row>
    <row r="209" spans="1:9" ht="15.75" thickBot="1" x14ac:dyDescent="0.3">
      <c r="A209" s="294"/>
      <c r="B209" s="282" t="str">
        <f>TEXT($H$3,"MMM")&amp;" "&amp;TEXT($H$3,"YYYY")</f>
        <v>Apr 2019</v>
      </c>
      <c r="C209" s="282" t="str">
        <f>TEXT($H$3,"YYYY")</f>
        <v>2019</v>
      </c>
      <c r="D209" s="282">
        <f>TEXT($H$3,"YYYY")-1</f>
        <v>2018</v>
      </c>
      <c r="E209" s="284" t="s">
        <v>6</v>
      </c>
      <c r="F209" s="284">
        <f>TEXT($H$3,"YYYY")-1</f>
        <v>2018</v>
      </c>
      <c r="G209" s="284">
        <f>TEXT($H$3,"YYYY")-2</f>
        <v>2017</v>
      </c>
      <c r="H209" s="284">
        <f>TEXT($H$3,"YYYY")-3</f>
        <v>2016</v>
      </c>
      <c r="I209" s="284">
        <f>TEXT($H$3,"YYYY")-4</f>
        <v>2015</v>
      </c>
    </row>
    <row r="210" spans="1:9" ht="14.25" x14ac:dyDescent="0.2">
      <c r="A210" s="248" t="s">
        <v>172</v>
      </c>
      <c r="B210" s="286">
        <f>250*Data!CE9/Data!CH2/Data!CD18</f>
        <v>0.30756524765596494</v>
      </c>
      <c r="C210" s="286">
        <v>0.34079999999999999</v>
      </c>
      <c r="D210" s="286">
        <v>0.41539999999999999</v>
      </c>
      <c r="E210" s="286">
        <f>IFERROR(IF(OR(AND(D210="",C210=""),AND(D210=0,C210=0)),"",
IF(OR(D210="",D210=0),1,
IF(OR(D210&lt;&gt;"",D210&lt;&gt;0),(C210-D210)/ABS(D210)))),-1)</f>
        <v>-0.17958594126143476</v>
      </c>
      <c r="F210" s="370">
        <v>44.7</v>
      </c>
      <c r="G210" s="370">
        <v>35.9</v>
      </c>
      <c r="H210" s="370">
        <v>34.9</v>
      </c>
      <c r="I210" s="370">
        <v>42.8</v>
      </c>
    </row>
    <row r="211" spans="1:9" ht="14.25" x14ac:dyDescent="0.2">
      <c r="A211" s="247" t="s">
        <v>173</v>
      </c>
      <c r="B211" s="286">
        <v>0.29239999999999999</v>
      </c>
      <c r="C211" s="286">
        <v>0.3236</v>
      </c>
      <c r="D211" s="286">
        <v>0.38679999999999998</v>
      </c>
      <c r="E211" s="286">
        <f>IFERROR(IF(OR(AND(D211="",C211=""),AND(D211=0,C211=0)),"",
IF(OR(D211="",D211=0),1,
IF(OR(D211&lt;&gt;"",D211&lt;&gt;0),(C211-D211)/ABS(D211)))),-1)</f>
        <v>-0.16339193381592548</v>
      </c>
      <c r="F211" s="370">
        <v>42</v>
      </c>
      <c r="G211" s="370">
        <v>33</v>
      </c>
      <c r="H211" s="370">
        <v>32.6</v>
      </c>
      <c r="I211" s="370">
        <v>39.9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679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2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2"/>
      <c r="G218" s="281"/>
      <c r="H218" s="281"/>
      <c r="I218" s="281"/>
    </row>
    <row r="219" spans="1:9" ht="15.75" thickBot="1" x14ac:dyDescent="0.3">
      <c r="A219" s="294"/>
      <c r="B219" s="282" t="str">
        <f>TEXT($H$3,"MMM")&amp;" "&amp;TEXT($H$3,"YYYY")</f>
        <v>Apr 2019</v>
      </c>
      <c r="C219" s="282" t="str">
        <f>TEXT($H$3,"YYYY")</f>
        <v>2019</v>
      </c>
      <c r="D219" s="282">
        <f>TEXT($H$3,"YYYY")-1</f>
        <v>2018</v>
      </c>
      <c r="E219" s="284" t="s">
        <v>6</v>
      </c>
      <c r="F219" s="284">
        <f>TEXT($H$3,"YYYY")-1</f>
        <v>2018</v>
      </c>
      <c r="G219" s="284">
        <f>TEXT($H$3,"YYYY")-2</f>
        <v>2017</v>
      </c>
      <c r="H219" s="284">
        <f>TEXT($H$3,"YYYY")-3</f>
        <v>2016</v>
      </c>
      <c r="I219" s="284">
        <f>TEXT($H$3,"YYYY")-4</f>
        <v>2015</v>
      </c>
    </row>
    <row r="220" spans="1:9" ht="15" x14ac:dyDescent="0.25">
      <c r="A220" s="313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317</v>
      </c>
      <c r="C221" s="249">
        <f>SUMIF(Data!$BT$9:$BT$14,"&lt;&gt;AltX",Data!BU9:BU14)</f>
        <v>317</v>
      </c>
      <c r="D221" s="249">
        <f>SUMIF(Data!$BT$17:$BT$23,"&lt;&gt;AltX",Data!$BU$17:$BU$24)</f>
        <v>323</v>
      </c>
      <c r="E221" s="286">
        <f>IFERROR(IF(OR(AND(D221="",C221=""),AND(D221=0,C221=0)),"",
IF(OR(D221="",D221=0),1,
IF(OR(D221&lt;&gt;"",D221&lt;&gt;0),(C221-D221)/ABS(D221)))),-1)</f>
        <v>-1.8575851393188854E-2</v>
      </c>
      <c r="F221" s="364">
        <v>326</v>
      </c>
      <c r="G221" s="364">
        <v>324</v>
      </c>
      <c r="H221" s="364">
        <v>328</v>
      </c>
      <c r="I221" s="364">
        <v>331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1</v>
      </c>
      <c r="D222" s="249">
        <f>SUMIF(Data!$BT$17:$BT$23,"&lt;&gt;AltX",Data!$BV$17:$BV$23)</f>
        <v>2</v>
      </c>
      <c r="E222" s="286">
        <f t="shared" ref="E222:E223" si="17">IFERROR(IF(OR(AND(D222="",C222=""),AND(D222=0,C222=0)),"",
IF(OR(D222="",D222=0),1,
IF(OR(D222&lt;&gt;"",D222&lt;&gt;0),(C222-D222)/ABS(D222)))),-1)</f>
        <v>-0.5</v>
      </c>
      <c r="F222" s="364">
        <v>11</v>
      </c>
      <c r="G222" s="364">
        <v>13</v>
      </c>
      <c r="H222" s="364">
        <v>11</v>
      </c>
      <c r="I222" s="364">
        <v>15</v>
      </c>
    </row>
    <row r="223" spans="1:9" ht="14.25" x14ac:dyDescent="0.2">
      <c r="A223" s="248" t="s">
        <v>31</v>
      </c>
      <c r="B223" s="249">
        <f ca="1">SUMIF(Data!$BT$1:$BT$7,"&lt;&gt;AltX",Data!$BW$1:$BW$6)</f>
        <v>1</v>
      </c>
      <c r="C223" s="249">
        <f>SUMIF(Data!$BT$9:$BT$14,"&lt;&gt;AltX",Data!BW9:BW14)</f>
        <v>9</v>
      </c>
      <c r="D223" s="249">
        <f>SUMIF(Data!$BT$17:$BT$23,"&lt;&gt;AltX",Data!$BW$17:$BW$23)</f>
        <v>3</v>
      </c>
      <c r="E223" s="286">
        <f t="shared" si="17"/>
        <v>2</v>
      </c>
      <c r="F223" s="364">
        <v>9</v>
      </c>
      <c r="G223" s="364">
        <v>21</v>
      </c>
      <c r="H223" s="364">
        <v>17</v>
      </c>
      <c r="I223" s="364">
        <v>18</v>
      </c>
    </row>
    <row r="224" spans="1:9" ht="14.25" x14ac:dyDescent="0.2">
      <c r="A224" s="248"/>
      <c r="B224" s="249"/>
      <c r="C224" s="249"/>
      <c r="D224" s="249"/>
      <c r="E224" s="323"/>
      <c r="F224" s="364"/>
      <c r="G224" s="364"/>
      <c r="H224" s="364"/>
      <c r="I224" s="364"/>
    </row>
    <row r="225" spans="1:9" ht="15" x14ac:dyDescent="0.25">
      <c r="A225" s="288" t="s">
        <v>139</v>
      </c>
      <c r="B225" s="249"/>
      <c r="C225" s="249"/>
      <c r="D225" s="249"/>
      <c r="E225" s="323"/>
      <c r="F225" s="364"/>
      <c r="G225" s="364"/>
      <c r="H225" s="364"/>
      <c r="I225" s="364"/>
    </row>
    <row r="226" spans="1:9" ht="14.25" x14ac:dyDescent="0.2">
      <c r="A226" s="248" t="s">
        <v>29</v>
      </c>
      <c r="B226" s="249">
        <f ca="1">SUMIF(Data!$BT$1:$BT$7,"AltX",Data!$BU$1:$BU$6)</f>
        <v>44</v>
      </c>
      <c r="C226" s="249">
        <f>SUMIF(Data!$BT$9:$BT$14,"AltX",Data!BU9:BU14)</f>
        <v>44</v>
      </c>
      <c r="D226" s="249">
        <f>SUMIF(Data!$BT$17:$BT$23,"AltX",Data!$BU$17:$BU$24)</f>
        <v>49</v>
      </c>
      <c r="E226" s="286">
        <f t="shared" ref="E226:E227" si="18">IFERROR(IF(OR(AND(D226="",C226=""),AND(D226=0,C226=0)),"",
IF(OR(D226="",D226=0),1,
IF(OR(D226&lt;&gt;"",D226&lt;&gt;0),(C226-D226)/ABS(D226)))),-1)</f>
        <v>-0.10204081632653061</v>
      </c>
      <c r="F226" s="364">
        <v>46</v>
      </c>
      <c r="G226" s="364">
        <v>53</v>
      </c>
      <c r="H226" s="364">
        <v>60</v>
      </c>
      <c r="I226" s="364">
        <v>64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0</v>
      </c>
      <c r="D227" s="249">
        <f>SUMIF(Data!$BT$17:$BT$23,"AltX",Data!$BV$17:$BV$23)</f>
        <v>0</v>
      </c>
      <c r="E227" s="286" t="str">
        <f t="shared" si="18"/>
        <v/>
      </c>
      <c r="F227" s="364">
        <v>1</v>
      </c>
      <c r="G227" s="364">
        <v>8</v>
      </c>
      <c r="H227" s="364">
        <v>7</v>
      </c>
      <c r="I227" s="364">
        <v>8</v>
      </c>
    </row>
    <row r="228" spans="1:9" ht="14.25" x14ac:dyDescent="0.2">
      <c r="A228" s="248" t="s">
        <v>31</v>
      </c>
      <c r="B228" s="249">
        <f ca="1">SUMIF(Data!$BT$1:$BT$7,"AltX",Data!$BW$1:$BW$6)</f>
        <v>1</v>
      </c>
      <c r="C228" s="249">
        <f>SUMIF(Data!$BT$9:$BT$14,"AltX",Data!BW9:BW14)</f>
        <v>3</v>
      </c>
      <c r="D228" s="249">
        <f>SUMIF(Data!$BT$17:$BT$23,"AltX",Data!$BW$17:$BW$23)</f>
        <v>4</v>
      </c>
      <c r="E228" s="286">
        <f t="shared" ref="E228" ca="1" si="19">IFERROR(IF(OR(AND(C228="",B228=""),AND(C228=0,B228=0)),"",
IF(OR(C228="",C228=0),1,
IF(OR(C228&lt;&gt;"",C228&lt;&gt;0),(B228-C228)/ABS(C228)))),-1)</f>
        <v>-0.66666666666666663</v>
      </c>
      <c r="F228" s="364">
        <v>8</v>
      </c>
      <c r="G228" s="364">
        <v>11</v>
      </c>
      <c r="H228" s="364">
        <v>8</v>
      </c>
      <c r="I228" s="364">
        <v>1</v>
      </c>
    </row>
    <row r="229" spans="1:9" ht="14.25" x14ac:dyDescent="0.2">
      <c r="A229" s="248"/>
      <c r="B229" s="249"/>
      <c r="C229" s="249"/>
      <c r="D229" s="249"/>
      <c r="E229" s="323"/>
      <c r="F229" s="364"/>
      <c r="G229" s="364"/>
      <c r="H229" s="364"/>
      <c r="I229" s="364"/>
    </row>
    <row r="230" spans="1:9" ht="15" x14ac:dyDescent="0.25">
      <c r="A230" s="288" t="s">
        <v>32</v>
      </c>
      <c r="B230" s="249"/>
      <c r="C230" s="249"/>
      <c r="D230" s="249"/>
      <c r="E230" s="323"/>
      <c r="F230" s="364"/>
      <c r="G230" s="364"/>
      <c r="H230" s="364"/>
      <c r="I230" s="364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1</v>
      </c>
      <c r="D231" s="249">
        <f t="shared" si="20"/>
        <v>2</v>
      </c>
      <c r="E231" s="286">
        <f t="shared" ref="E231:E237" si="21">IFERROR(IF(OR(AND(D231="",C231=""),AND(D231=0,C231=0)),"",
IF(OR(D231="",D231=0),1,
IF(OR(D231&lt;&gt;"",D231&lt;&gt;0),(C231-D231)/ABS(D231)))),-1)</f>
        <v>-0.5</v>
      </c>
      <c r="F231" s="364">
        <v>12</v>
      </c>
      <c r="G231" s="364">
        <v>21</v>
      </c>
      <c r="H231" s="364">
        <v>18</v>
      </c>
      <c r="I231" s="364">
        <v>23</v>
      </c>
    </row>
    <row r="232" spans="1:9" ht="14.25" x14ac:dyDescent="0.2">
      <c r="A232" s="248" t="s">
        <v>31</v>
      </c>
      <c r="B232" s="249">
        <f t="shared" ca="1" si="20"/>
        <v>2</v>
      </c>
      <c r="C232" s="249">
        <f t="shared" si="20"/>
        <v>12</v>
      </c>
      <c r="D232" s="249">
        <f t="shared" si="20"/>
        <v>7</v>
      </c>
      <c r="E232" s="286">
        <f>IFERROR(IF(OR(AND(D232="",C232=""),AND(D232=0,C232=0)),"",
IF(OR(D232="",D232=0),1,
IF(OR(D232&lt;&gt;"",D232&lt;&gt;0),(C232-D232)/ABS(D232)))),-1)</f>
        <v>0.7142857142857143</v>
      </c>
      <c r="F232" s="364">
        <v>17</v>
      </c>
      <c r="G232" s="364">
        <v>32</v>
      </c>
      <c r="H232" s="364">
        <v>25</v>
      </c>
      <c r="I232" s="364">
        <v>19</v>
      </c>
    </row>
    <row r="233" spans="1:9" ht="14.25" x14ac:dyDescent="0.2">
      <c r="A233" s="248" t="s">
        <v>33</v>
      </c>
      <c r="B233" s="249">
        <f>SUM(Data!$CB$2:$CB$6)</f>
        <v>72</v>
      </c>
      <c r="C233" s="249">
        <f>SUM(Data!$CB$10:$CB$14)</f>
        <v>72</v>
      </c>
      <c r="D233" s="249">
        <f>SUM(Data!CB18:CB22)</f>
        <v>75</v>
      </c>
      <c r="E233" s="286">
        <f t="shared" si="21"/>
        <v>-0.04</v>
      </c>
      <c r="F233" s="364">
        <v>74</v>
      </c>
      <c r="G233" s="364">
        <v>75</v>
      </c>
      <c r="H233" s="364">
        <v>76</v>
      </c>
      <c r="I233" s="364">
        <v>71</v>
      </c>
    </row>
    <row r="234" spans="1:9" ht="14.25" x14ac:dyDescent="0.2">
      <c r="A234" s="248" t="s">
        <v>34</v>
      </c>
      <c r="B234" s="249">
        <f>SUM(Data!$CA$2:$CA$6)</f>
        <v>289</v>
      </c>
      <c r="C234" s="249">
        <f>SUM(Data!$CA$10:$CA$14)</f>
        <v>289</v>
      </c>
      <c r="D234" s="249">
        <f>SUM(Data!CA18:CA22)</f>
        <v>297</v>
      </c>
      <c r="E234" s="286">
        <f t="shared" si="21"/>
        <v>-2.6936026936026935E-2</v>
      </c>
      <c r="F234" s="364">
        <v>298</v>
      </c>
      <c r="G234" s="364">
        <v>302</v>
      </c>
      <c r="H234" s="364">
        <v>312</v>
      </c>
      <c r="I234" s="364">
        <v>324</v>
      </c>
    </row>
    <row r="235" spans="1:9" ht="15" x14ac:dyDescent="0.25">
      <c r="A235" s="288" t="s">
        <v>35</v>
      </c>
      <c r="B235" s="250">
        <f ca="1">B221+B226</f>
        <v>361</v>
      </c>
      <c r="C235" s="250">
        <f>C221+C226</f>
        <v>361</v>
      </c>
      <c r="D235" s="250">
        <f>D221+D226</f>
        <v>372</v>
      </c>
      <c r="E235" s="324">
        <f t="shared" si="21"/>
        <v>-2.9569892473118281E-2</v>
      </c>
      <c r="F235" s="365">
        <v>372</v>
      </c>
      <c r="G235" s="365">
        <v>377</v>
      </c>
      <c r="H235" s="365">
        <v>388</v>
      </c>
      <c r="I235" s="365">
        <v>395</v>
      </c>
    </row>
    <row r="236" spans="1:9" ht="15" x14ac:dyDescent="0.25">
      <c r="A236" s="288"/>
      <c r="B236" s="249"/>
      <c r="C236" s="249"/>
      <c r="D236" s="250"/>
      <c r="E236" s="248"/>
      <c r="F236" s="364"/>
      <c r="G236" s="364"/>
      <c r="H236" s="364"/>
      <c r="I236" s="364"/>
    </row>
    <row r="237" spans="1:9" ht="15" x14ac:dyDescent="0.25">
      <c r="A237" s="288" t="s">
        <v>36</v>
      </c>
      <c r="B237" s="250">
        <f>Data!CD2</f>
        <v>907</v>
      </c>
      <c r="C237" s="250">
        <f>Data!CD2</f>
        <v>907</v>
      </c>
      <c r="D237" s="250">
        <f>Data!CD5</f>
        <v>833</v>
      </c>
      <c r="E237" s="324">
        <f t="shared" si="21"/>
        <v>8.883553421368548E-2</v>
      </c>
      <c r="F237" s="365">
        <v>822</v>
      </c>
      <c r="G237" s="365">
        <v>812</v>
      </c>
      <c r="H237" s="365">
        <v>816</v>
      </c>
      <c r="I237" s="365">
        <v>858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5">
        <f>Data!CE2/1000000000</f>
        <v>16556.240594200182</v>
      </c>
      <c r="C239" s="325"/>
      <c r="D239" s="325">
        <f>Data!CE5/1000000000</f>
        <v>14687.07228586875</v>
      </c>
      <c r="E239" s="324">
        <f>IFERROR(IF(OR(AND(D239="",B239=""),AND(D239=0,B239=0)),"",
IF(OR(D239="",D239=0),1,
IF(OR(D239&lt;&gt;"",D239&lt;&gt;0),(B239-D239)/ABS(D239)))),-1)</f>
        <v>0.12726622923547967</v>
      </c>
      <c r="F239" s="371">
        <v>12682</v>
      </c>
      <c r="G239" s="371">
        <v>15461.4</v>
      </c>
      <c r="H239" s="371">
        <v>13580.6</v>
      </c>
      <c r="I239" s="371">
        <v>11727.6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Apr 2019</v>
      </c>
      <c r="E262" s="398" t="s">
        <v>201</v>
      </c>
      <c r="F262" s="398"/>
      <c r="G262" s="398"/>
      <c r="H262" s="398"/>
      <c r="I262" s="125"/>
    </row>
    <row r="263" spans="1:13" ht="13.5" thickBot="1" x14ac:dyDescent="0.25">
      <c r="A263" s="116"/>
      <c r="B263" s="116"/>
      <c r="C263" s="116"/>
      <c r="D263" s="116"/>
      <c r="E263" s="411"/>
      <c r="F263" s="411"/>
      <c r="G263" s="411"/>
      <c r="H263" s="411"/>
      <c r="I263" s="116"/>
    </row>
    <row r="264" spans="1:13" ht="15" x14ac:dyDescent="0.25">
      <c r="A264" s="281"/>
      <c r="B264" s="281"/>
      <c r="C264" s="281"/>
      <c r="D264" s="181"/>
      <c r="E264" s="208"/>
      <c r="F264" s="326"/>
      <c r="G264" s="414" t="s">
        <v>203</v>
      </c>
      <c r="H264" s="414" t="s">
        <v>202</v>
      </c>
      <c r="I264" s="327"/>
    </row>
    <row r="265" spans="1:13" ht="12.75" customHeight="1" x14ac:dyDescent="0.25">
      <c r="A265" s="281"/>
      <c r="B265" s="281"/>
      <c r="C265" s="281"/>
      <c r="D265" s="181"/>
      <c r="E265" s="414" t="s">
        <v>40</v>
      </c>
      <c r="F265" s="419" t="str">
        <f>"Index Close   "&amp;TEXT($H$3,"MMM")&amp;" "&amp;TEXT($H$3,"YYYY")</f>
        <v>Index Close   Apr 2019</v>
      </c>
      <c r="G265" s="414"/>
      <c r="H265" s="414"/>
      <c r="I265" s="421" t="s">
        <v>41</v>
      </c>
    </row>
    <row r="266" spans="1:13" ht="15.75" thickBot="1" x14ac:dyDescent="0.3">
      <c r="A266" s="328"/>
      <c r="B266" s="329"/>
      <c r="C266" s="329"/>
      <c r="D266" s="197"/>
      <c r="E266" s="415"/>
      <c r="F266" s="420"/>
      <c r="G266" s="415"/>
      <c r="H266" s="415"/>
      <c r="I266" s="422"/>
    </row>
    <row r="267" spans="1:13" ht="15" x14ac:dyDescent="0.25">
      <c r="A267" s="330" t="s">
        <v>39</v>
      </c>
      <c r="B267" s="330"/>
      <c r="C267" s="330"/>
      <c r="D267" s="330"/>
      <c r="E267" s="330"/>
      <c r="F267" s="330"/>
      <c r="G267" s="330"/>
      <c r="H267" s="330"/>
      <c r="I267" s="330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58528.395363759999</v>
      </c>
      <c r="G268" s="286">
        <f>IF(IFERROR(VLOOKUP(E268,Data!$O$23:$P$196,2,FALSE),0)=0,0,(F268-IFERROR(VLOOKUP(E268,Data!$O$23:$P$196,2,FALSE),0))/ABS(IFERROR(VLOOKUP(E268,Data!$O$23:$P$196,2,FALSE),0)))</f>
        <v>3.6587903614337329E-2</v>
      </c>
      <c r="H268" s="184">
        <f>VLOOKUP(E268,Data!$B$23:$E$273,3,FALSE)</f>
        <v>61684.771932919997</v>
      </c>
      <c r="I268" s="331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72566.437420410002</v>
      </c>
      <c r="G269" s="286">
        <f>IF(IFERROR(VLOOKUP(E269,Data!$O$23:$P$196,2,FALSE),0)=0,0,(F269-IFERROR(VLOOKUP(E269,Data!$O$23:$P$196,2,FALSE),0))/ABS(IFERROR(VLOOKUP(E269,Data!$O$23:$P$196,2,FALSE),0)))</f>
        <v>2.246543671773395E-2</v>
      </c>
      <c r="H269" s="184">
        <f>VLOOKUP(E269,Data!$B$23:$E$273,3,FALSE)</f>
        <v>82603.124167989998</v>
      </c>
      <c r="I269" s="331">
        <f>VLOOKUP(E269,Data!$B$23:$E$273,2,FALSE)</f>
        <v>42594</v>
      </c>
      <c r="J269" s="157"/>
      <c r="M269" s="157"/>
    </row>
    <row r="270" spans="1:13" s="161" customFormat="1" ht="14.25" x14ac:dyDescent="0.2">
      <c r="A270" s="304" t="s">
        <v>46</v>
      </c>
      <c r="B270" s="304"/>
      <c r="C270" s="185"/>
      <c r="D270" s="185"/>
      <c r="E270" s="304" t="s">
        <v>47</v>
      </c>
      <c r="F270" s="185">
        <f>IFERROR(VLOOKUP(E270,Data!$G$23:$H$196,2,FALSE),0)</f>
        <v>50017.146768060004</v>
      </c>
      <c r="G270" s="332">
        <f>IF(IFERROR(VLOOKUP(E270,Data!$O$23:$P$196,2,FALSE),0)=0,0,(F270-IFERROR(VLOOKUP(E270,Data!$O$23:$P$196,2,FALSE),0))/ABS(IFERROR(VLOOKUP(E270,Data!$O$23:$P$196,2,FALSE),0)))</f>
        <v>4.5570974102358427E-2</v>
      </c>
      <c r="H270" s="185">
        <f>VLOOKUP(E270,Data!$B$23:$E$273,3,FALSE)</f>
        <v>65469.71245626</v>
      </c>
      <c r="I270" s="333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6324.74983703</v>
      </c>
      <c r="G271" s="286">
        <f>IF(IFERROR(VLOOKUP(E271,Data!$O$23:$P$196,2,FALSE),0)=0,0,(F271-IFERROR(VLOOKUP(E271,Data!$O$23:$P$196,2,FALSE),0))/ABS(IFERROR(VLOOKUP(E271,Data!$O$23:$P$196,2,FALSE),0)))</f>
        <v>1.1076778858435997E-2</v>
      </c>
      <c r="H271" s="184">
        <f>VLOOKUP(E271,Data!$B$23:$E$273,3,FALSE)</f>
        <v>8292.5284918300003</v>
      </c>
      <c r="I271" s="331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28907.968015570001</v>
      </c>
      <c r="G272" s="286">
        <f>IF(IFERROR(VLOOKUP(E272,Data!$O$23:$P$196,2,FALSE),0)=0,0,(F272-IFERROR(VLOOKUP(E272,Data!$O$23:$P$196,2,FALSE),0))/ABS(IFERROR(VLOOKUP(E272,Data!$O$23:$P$196,2,FALSE),0)))</f>
        <v>3.0172762797986471E-2</v>
      </c>
      <c r="H272" s="184">
        <f>VLOOKUP(E272,Data!$B$23:$E$273,3,FALSE)</f>
        <v>30767.717573220001</v>
      </c>
      <c r="I272" s="331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12585.66219202</v>
      </c>
      <c r="G273" s="286">
        <f>IF(IFERROR(VLOOKUP(E273,Data!$O$23:$P$196,2,FALSE),0)=0,0,(F273-IFERROR(VLOOKUP(E273,Data!$O$23:$P$196,2,FALSE),0))/ABS(IFERROR(VLOOKUP(E273,Data!$O$23:$P$196,2,FALSE),0)))</f>
        <v>5.0456029483364841E-2</v>
      </c>
      <c r="H273" s="184">
        <f>VLOOKUP(E273,Data!$B$23:$E$273,3,FALSE)</f>
        <v>13771.555498350001</v>
      </c>
      <c r="I273" s="331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1"/>
    </row>
    <row r="275" spans="1:13" ht="15" x14ac:dyDescent="0.25">
      <c r="A275" s="330" t="s">
        <v>54</v>
      </c>
      <c r="B275" s="330"/>
      <c r="C275" s="330"/>
      <c r="D275" s="330"/>
      <c r="E275" s="330"/>
      <c r="F275" s="330"/>
      <c r="G275" s="330"/>
      <c r="H275" s="330"/>
      <c r="I275" s="330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52274.030369710003</v>
      </c>
      <c r="G276" s="286">
        <f>IF(IFERROR(VLOOKUP(E276,Data!$O$23:$P$196,2,FALSE),0)=0,0,(F276-IFERROR(VLOOKUP(E276,Data!$O$23:$P$196,2,FALSE),0))/ABS(IFERROR(VLOOKUP(E276,Data!$O$23:$P$196,2,FALSE),0)))</f>
        <v>3.9784072265056356E-2</v>
      </c>
      <c r="H276" s="184">
        <f>VLOOKUP(E276,Data!$B$23:$E$273,3,FALSE)</f>
        <v>55065.365928040002</v>
      </c>
      <c r="I276" s="331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26576.519849420001</v>
      </c>
      <c r="G277" s="286">
        <f>IF(IFERROR(VLOOKUP(E277,Data!$O$23:$P$196,2,FALSE),0)=0,0,(F277-IFERROR(VLOOKUP(E277,Data!$O$23:$P$196,2,FALSE),0))/ABS(IFERROR(VLOOKUP(E277,Data!$O$23:$P$196,2,FALSE),0)))</f>
        <v>3.2479353992334592E-2</v>
      </c>
      <c r="H277" s="184">
        <f>VLOOKUP(E277,Data!$B$23:$E$273,3,FALSE)</f>
        <v>28107.866765129998</v>
      </c>
      <c r="I277" s="331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11377.121684629999</v>
      </c>
      <c r="G278" s="286">
        <f>IF(IFERROR(VLOOKUP(E278,Data!$O$23:$P$196,2,FALSE),0)=0,0,(F278-IFERROR(VLOOKUP(E278,Data!$O$23:$P$196,2,FALSE),0))/ABS(IFERROR(VLOOKUP(E278,Data!$O$23:$P$196,2,FALSE),0)))</f>
        <v>5.6783778033228476E-2</v>
      </c>
      <c r="H278" s="184">
        <f>VLOOKUP(E278,Data!$B$23:$E$273,3,FALSE)</f>
        <v>12491.5886923</v>
      </c>
      <c r="I278" s="331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45937.212550650002</v>
      </c>
      <c r="G279" s="286">
        <f>IF(IFERROR(VLOOKUP(E279,Data!$O$23:$P$196,2,FALSE),0)=0,0,(F279-IFERROR(VLOOKUP(E279,Data!$O$23:$P$196,2,FALSE),0))/ABS(IFERROR(VLOOKUP(E279,Data!$O$23:$P$196,2,FALSE),0)))</f>
        <v>-2.0189895771206806E-2</v>
      </c>
      <c r="H279" s="184">
        <f>VLOOKUP(E279,Data!$B$23:$E$273,3,FALSE)</f>
        <v>77308.45</v>
      </c>
      <c r="I279" s="331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1432.6767611800001</v>
      </c>
      <c r="G280" s="286">
        <f>IF(IFERROR(VLOOKUP(E280,Data!$O$23:$P$196,2,FALSE),0)=0,0,(F280-IFERROR(VLOOKUP(E280,Data!$O$23:$P$196,2,FALSE),0))/ABS(IFERROR(VLOOKUP(E280,Data!$O$23:$P$196,2,FALSE),0)))</f>
        <v>-7.6295749995628825E-2</v>
      </c>
      <c r="H280" s="184">
        <f>VLOOKUP(E280,Data!$B$23:$E$273,3,FALSE)</f>
        <v>3456.48</v>
      </c>
      <c r="I280" s="331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73365.450256819997</v>
      </c>
      <c r="G281" s="286">
        <f>IF(IFERROR(VLOOKUP(E281,Data!$O$23:$P$196,2,FALSE),0)=0,0,(F281-IFERROR(VLOOKUP(E281,Data!$O$23:$P$196,2,FALSE),0))/ABS(IFERROR(VLOOKUP(E281,Data!$O$23:$P$196,2,FALSE),0)))</f>
        <v>6.4568590123900232E-2</v>
      </c>
      <c r="H281" s="184">
        <f>VLOOKUP(E281,Data!$B$23:$E$273,3,FALSE)</f>
        <v>87017.951262529998</v>
      </c>
      <c r="I281" s="331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17125.86554653</v>
      </c>
      <c r="G282" s="286">
        <f>IF(IFERROR(VLOOKUP(E282,Data!$O$23:$P$196,2,FALSE),0)=0,0,(F282-IFERROR(VLOOKUP(E282,Data!$O$23:$P$196,2,FALSE),0))/ABS(IFERROR(VLOOKUP(E282,Data!$O$23:$P$196,2,FALSE),0)))</f>
        <v>5.3115885265649726E-2</v>
      </c>
      <c r="H282" s="184">
        <f>VLOOKUP(E282,Data!$B$23:$E$273,3,FALSE)</f>
        <v>18847.577311370002</v>
      </c>
      <c r="I282" s="331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78499.428910910006</v>
      </c>
      <c r="G283" s="286">
        <f>IF(IFERROR(VLOOKUP(E283,Data!$O$23:$P$196,2,FALSE),0)=0,0,(F283-IFERROR(VLOOKUP(E283,Data!$O$23:$P$196,2,FALSE),0))/ABS(IFERROR(VLOOKUP(E283,Data!$O$23:$P$196,2,FALSE),0)))</f>
        <v>6.3693048160973972E-2</v>
      </c>
      <c r="H283" s="184">
        <f>VLOOKUP(E283,Data!$B$23:$E$273,3,FALSE)</f>
        <v>88373.331097460003</v>
      </c>
      <c r="I283" s="331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1"/>
    </row>
    <row r="285" spans="1:13" ht="15" x14ac:dyDescent="0.25">
      <c r="A285" s="330" t="s">
        <v>70</v>
      </c>
      <c r="B285" s="330"/>
      <c r="C285" s="330"/>
      <c r="D285" s="330"/>
      <c r="E285" s="330"/>
      <c r="F285" s="330"/>
      <c r="G285" s="330"/>
      <c r="H285" s="330"/>
      <c r="I285" s="330"/>
    </row>
    <row r="286" spans="1:13" s="161" customFormat="1" ht="14.25" x14ac:dyDescent="0.2">
      <c r="A286" s="304" t="s">
        <v>71</v>
      </c>
      <c r="B286" s="304"/>
      <c r="C286" s="185"/>
      <c r="D286" s="185"/>
      <c r="E286" s="304" t="s">
        <v>72</v>
      </c>
      <c r="F286" s="185">
        <f>IFERROR(VLOOKUP(E286,Data!$G$23:$H$196,2,FALSE),0)</f>
        <v>0</v>
      </c>
      <c r="G286" s="332">
        <f>IF(IFERROR(VLOOKUP(E286,Data!$O$23:$P$196,2,FALSE),0)=0,0,(F286-IFERROR(VLOOKUP(E286,Data!$O$23:$P$196,2,FALSE),0))/ABS(IFERROR(VLOOKUP(E286,Data!$O$23:$P$196,2,FALSE),0)))</f>
        <v>0</v>
      </c>
      <c r="H286" s="185">
        <f>VLOOKUP(E286,Data!$B$23:$E$273,3,FALSE)</f>
        <v>24943.07</v>
      </c>
      <c r="I286" s="333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32655.338949829998</v>
      </c>
      <c r="G287" s="286">
        <f>IF(IFERROR(VLOOKUP(E287,Data!$O$23:$P$196,2,FALSE),0)=0,0,(F287-IFERROR(VLOOKUP(E287,Data!$O$23:$P$196,2,FALSE),0))/ABS(IFERROR(VLOOKUP(E287,Data!$O$23:$P$196,2,FALSE),0)))</f>
        <v>-2.2908242877383557E-2</v>
      </c>
      <c r="H287" s="184">
        <f>VLOOKUP(E287,Data!$B$23:$E$273,3,FALSE)</f>
        <v>42763.39</v>
      </c>
      <c r="I287" s="331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44841.29425318</v>
      </c>
      <c r="G288" s="286">
        <f>IF(IFERROR(VLOOKUP(E288,Data!$O$23:$P$196,2,FALSE),0)=0,0,(F288-IFERROR(VLOOKUP(E288,Data!$O$23:$P$196,2,FALSE),0))/ABS(IFERROR(VLOOKUP(E288,Data!$O$23:$P$196,2,FALSE),0)))</f>
        <v>5.8921463408163822E-2</v>
      </c>
      <c r="H288" s="184">
        <f>VLOOKUP(E288,Data!$B$23:$E$273,3,FALSE)</f>
        <v>57747.257279739999</v>
      </c>
      <c r="I288" s="331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56114.064973629997</v>
      </c>
      <c r="G289" s="286">
        <f>IF(IFERROR(VLOOKUP(E289,Data!$O$23:$P$196,2,FALSE),0)=0,0,(F289-IFERROR(VLOOKUP(E289,Data!$O$23:$P$196,2,FALSE),0))/ABS(IFERROR(VLOOKUP(E289,Data!$O$23:$P$196,2,FALSE),0)))</f>
        <v>-6.2411385163694917E-3</v>
      </c>
      <c r="H289" s="184">
        <f>VLOOKUP(E289,Data!$B$23:$E$273,3,FALSE)</f>
        <v>84330.008150740003</v>
      </c>
      <c r="I289" s="331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23690.935123300002</v>
      </c>
      <c r="G290" s="286">
        <f>IF(IFERROR(VLOOKUP(E290,Data!$O$23:$P$196,2,FALSE),0)=0,0,(F290-IFERROR(VLOOKUP(E290,Data!$O$23:$P$196,2,FALSE),0))/ABS(IFERROR(VLOOKUP(E290,Data!$O$23:$P$196,2,FALSE),0)))</f>
        <v>6.7328172613490528E-2</v>
      </c>
      <c r="H290" s="184">
        <f>VLOOKUP(E290,Data!$B$23:$E$273,3,FALSE)</f>
        <v>35813.949999999997</v>
      </c>
      <c r="I290" s="331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42771.804947320001</v>
      </c>
      <c r="G291" s="286">
        <f>IF(IFERROR(VLOOKUP(E291,Data!$O$23:$P$196,2,FALSE),0)=0,0,(F291-IFERROR(VLOOKUP(E291,Data!$O$23:$P$196,2,FALSE),0))/ABS(IFERROR(VLOOKUP(E291,Data!$O$23:$P$196,2,FALSE),0)))</f>
        <v>4.5978482007499683E-2</v>
      </c>
      <c r="H291" s="184">
        <f>VLOOKUP(E291,Data!$B$23:$E$273,3,FALSE)</f>
        <v>48467.669364840003</v>
      </c>
      <c r="I291" s="331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32929.57026167</v>
      </c>
      <c r="G292" s="286">
        <f>IF(IFERROR(VLOOKUP(E292,Data!$O$23:$P$196,2,FALSE),0)=0,0,(F292-IFERROR(VLOOKUP(E292,Data!$O$23:$P$196,2,FALSE),0))/ABS(IFERROR(VLOOKUP(E292,Data!$O$23:$P$196,2,FALSE),0)))</f>
        <v>9.6920940572794073E-2</v>
      </c>
      <c r="H292" s="184">
        <f>VLOOKUP(E292,Data!$B$23:$E$273,3,FALSE)</f>
        <v>71088.506129760004</v>
      </c>
      <c r="I292" s="331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5675.4114998599998</v>
      </c>
      <c r="G293" s="286">
        <f>IF(IFERROR(VLOOKUP(E293,Data!$O$23:$P$196,2,FALSE),0)=0,0,(F293-IFERROR(VLOOKUP(E293,Data!$O$23:$P$196,2,FALSE),0))/ABS(IFERROR(VLOOKUP(E293,Data!$O$23:$P$196,2,FALSE),0)))</f>
        <v>0.13085608249030495</v>
      </c>
      <c r="H293" s="184">
        <f>VLOOKUP(E293,Data!$B$23:$E$273,3,FALSE)</f>
        <v>65291.38</v>
      </c>
      <c r="I293" s="331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4448.9152067900004</v>
      </c>
      <c r="G294" s="286">
        <f>IF(IFERROR(VLOOKUP(E294,Data!$O$23:$P$196,2,FALSE),0)=0,0,(F294-IFERROR(VLOOKUP(E294,Data!$O$23:$P$196,2,FALSE),0))/ABS(IFERROR(VLOOKUP(E294,Data!$O$23:$P$196,2,FALSE),0)))</f>
        <v>4.9351465595219461E-2</v>
      </c>
      <c r="H294" s="184">
        <f>VLOOKUP(E294,Data!$B$23:$E$273,3,FALSE)</f>
        <v>95446.135778840006</v>
      </c>
      <c r="I294" s="331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1"/>
    </row>
    <row r="296" spans="1:9" ht="15" x14ac:dyDescent="0.25">
      <c r="A296" s="330" t="s">
        <v>89</v>
      </c>
      <c r="B296" s="330"/>
      <c r="C296" s="330"/>
      <c r="D296" s="330"/>
      <c r="E296" s="330"/>
      <c r="F296" s="330"/>
      <c r="G296" s="330"/>
      <c r="H296" s="330"/>
      <c r="I296" s="330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1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3689.5335244299999</v>
      </c>
      <c r="G298" s="286">
        <f>IF(IFERROR(VLOOKUP(E298,Data!$O$23:$P$196,2,FALSE),0)=0,0,(F298-IFERROR(VLOOKUP(E298,Data!$O$23:$P$196,2,FALSE),0))/ABS(IFERROR(VLOOKUP(E298,Data!$O$23:$P$196,2,FALSE),0)))</f>
        <v>7.7208868140689127E-3</v>
      </c>
      <c r="H298" s="184">
        <f>VLOOKUP(E298,Data!$B$23:$E$273,3,FALSE)</f>
        <v>4599.9677435399999</v>
      </c>
      <c r="I298" s="331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652.25358086999995</v>
      </c>
      <c r="G299" s="286">
        <f>IF(IFERROR(VLOOKUP(E299,Data!$O$23:$P$196,2,FALSE),0)=0,0,(F299-IFERROR(VLOOKUP(E299,Data!$O$23:$P$196,2,FALSE),0))/ABS(IFERROR(VLOOKUP(E299,Data!$O$23:$P$196,2,FALSE),0)))</f>
        <v>9.4048519827003487E-3</v>
      </c>
      <c r="H299" s="184">
        <f>VLOOKUP(E299,Data!$B$23:$E$273,3,FALSE)</f>
        <v>1035.8389392900001</v>
      </c>
      <c r="I299" s="331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485.78827539999997</v>
      </c>
      <c r="G300" s="286">
        <f>IF(IFERROR(VLOOKUP(E300,Data!$O$23:$P$196,2,FALSE),0)=0,0,(F300-IFERROR(VLOOKUP(E300,Data!$O$23:$P$196,2,FALSE),0))/ABS(IFERROR(VLOOKUP(E300,Data!$O$23:$P$196,2,FALSE),0)))</f>
        <v>1.3910520615185938E-2</v>
      </c>
      <c r="H300" s="184">
        <f>VLOOKUP(E300,Data!$B$23:$E$273,3,FALSE)</f>
        <v>694.66658584000004</v>
      </c>
      <c r="I300" s="331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381.00668461999999</v>
      </c>
      <c r="G301" s="286">
        <f>IF(IFERROR(VLOOKUP(E301,Data!$O$23:$P$196,2,FALSE),0)=0,0,(F301-IFERROR(VLOOKUP(E301,Data!$O$23:$P$196,2,FALSE),0))/ABS(IFERROR(VLOOKUP(E301,Data!$O$23:$P$196,2,FALSE),0)))</f>
        <v>8.1833081989063922E-5</v>
      </c>
      <c r="H301" s="184">
        <f>VLOOKUP(E301,Data!$B$23:$E$273,3,FALSE)</f>
        <v>597.8558587</v>
      </c>
      <c r="I301" s="331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26032.047869229998</v>
      </c>
      <c r="G302" s="286">
        <f>IF(IFERROR(VLOOKUP(E302,Data!$O$23:$P$196,2,FALSE),0)=0,0,(F302-IFERROR(VLOOKUP(E302,Data!$O$23:$P$196,2,FALSE),0))/ABS(IFERROR(VLOOKUP(E302,Data!$O$23:$P$196,2,FALSE),0)))</f>
        <v>-2.2908242877464402E-2</v>
      </c>
      <c r="H302" s="184">
        <f>VLOOKUP(E302,Data!$B$23:$E$273,3,FALSE)</f>
        <v>42495.61</v>
      </c>
      <c r="I302" s="331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383.54746978999998</v>
      </c>
      <c r="G303" s="286">
        <f>IF(IFERROR(VLOOKUP(E303,Data!$O$23:$P$196,2,FALSE),0)=0,0,(F303-IFERROR(VLOOKUP(E303,Data!$O$23:$P$196,2,FALSE),0))/ABS(IFERROR(VLOOKUP(E303,Data!$O$23:$P$196,2,FALSE),0)))</f>
        <v>2.0136005145881101E-2</v>
      </c>
      <c r="H303" s="184">
        <f>VLOOKUP(E303,Data!$B$23:$E$273,3,FALSE)</f>
        <v>431.46959335999998</v>
      </c>
      <c r="I303" s="331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689.82168394999997</v>
      </c>
      <c r="G304" s="286">
        <f>IF(IFERROR(VLOOKUP(E304,Data!$O$23:$P$196,2,FALSE),0)=0,0,(F304-IFERROR(VLOOKUP(E304,Data!$O$23:$P$196,2,FALSE),0))/ABS(IFERROR(VLOOKUP(E304,Data!$O$23:$P$196,2,FALSE),0)))</f>
        <v>5.2170483966152176E-2</v>
      </c>
      <c r="H304" s="184">
        <f>VLOOKUP(E304,Data!$B$23:$E$273,3,FALSE)</f>
        <v>738.92755879000003</v>
      </c>
      <c r="I304" s="331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1"/>
    </row>
    <row r="306" spans="1:9" ht="15" x14ac:dyDescent="0.25">
      <c r="A306" s="330" t="s">
        <v>104</v>
      </c>
      <c r="B306" s="330"/>
      <c r="C306" s="330"/>
      <c r="D306" s="330"/>
      <c r="E306" s="330"/>
      <c r="F306" s="330"/>
      <c r="G306" s="330"/>
      <c r="H306" s="330"/>
      <c r="I306" s="330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31.58652554</v>
      </c>
      <c r="G307" s="286">
        <f>IF(IFERROR(VLOOKUP(E307,Data!$O$23:$P$196,2,FALSE),0)=0,0,(F307-IFERROR(VLOOKUP(E307,Data!$O$23:$P$196,2,FALSE),0))/ABS(IFERROR(VLOOKUP(E307,Data!$O$23:$P$196,2,FALSE),0)))</f>
        <v>-4.3652167164624105E-2</v>
      </c>
      <c r="H307" s="184">
        <f>VLOOKUP(E307,Data!$B$23:$E$273,3,FALSE)</f>
        <v>146.47999999999999</v>
      </c>
      <c r="I307" s="331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11614.36258114</v>
      </c>
      <c r="G308" s="286">
        <f>IF(IFERROR(VLOOKUP(E308,Data!$O$23:$P$196,2,FALSE),0)=0,0,(F308-IFERROR(VLOOKUP(E308,Data!$O$23:$P$196,2,FALSE),0))/ABS(IFERROR(VLOOKUP(E308,Data!$O$23:$P$196,2,FALSE),0)))</f>
        <v>-3.4416149958504637E-2</v>
      </c>
      <c r="H308" s="184">
        <f>VLOOKUP(E308,Data!$B$23:$E$273,3,FALSE)</f>
        <v>12608.67</v>
      </c>
      <c r="I308" s="331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1"/>
    </row>
    <row r="310" spans="1:9" ht="15" x14ac:dyDescent="0.25">
      <c r="A310" s="330" t="s">
        <v>109</v>
      </c>
      <c r="B310" s="330"/>
      <c r="C310" s="330"/>
      <c r="D310" s="330"/>
      <c r="E310" s="330"/>
      <c r="F310" s="330"/>
      <c r="G310" s="330"/>
      <c r="H310" s="330"/>
      <c r="I310" s="330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1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1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855.20593399999996</v>
      </c>
      <c r="G313" s="286">
        <f>IF(IFERROR(VLOOKUP(E313,Data!$O$23:$P$196,2,FALSE),0)=0,0,(F313-IFERROR(VLOOKUP(E313,Data!$O$23:$P$196,2,FALSE),0))/ABS(IFERROR(VLOOKUP(E313,Data!$O$23:$P$196,2,FALSE),0)))</f>
        <v>-5.0520607115578819E-2</v>
      </c>
      <c r="H313" s="184">
        <f>VLOOKUP(E313,Data!$B$23:$E$273,3,FALSE)</f>
        <v>5041.9399999999996</v>
      </c>
      <c r="I313" s="331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4"/>
      <c r="G314" s="289"/>
      <c r="H314" s="289"/>
      <c r="I314" s="289"/>
    </row>
    <row r="315" spans="1:9" ht="13.5" thickTop="1" x14ac:dyDescent="0.2">
      <c r="A315" s="363" t="s">
        <v>532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Apr 2019</v>
      </c>
      <c r="E347" s="398" t="s">
        <v>204</v>
      </c>
      <c r="F347" s="398"/>
      <c r="G347" s="398"/>
      <c r="H347" s="398"/>
      <c r="I347" s="125"/>
    </row>
    <row r="348" spans="1:9" ht="13.5" thickBot="1" x14ac:dyDescent="0.25">
      <c r="A348" s="116"/>
      <c r="B348" s="116"/>
      <c r="C348" s="116"/>
      <c r="D348" s="116"/>
      <c r="E348" s="411"/>
      <c r="F348" s="411"/>
      <c r="G348" s="411"/>
      <c r="H348" s="411"/>
      <c r="I348" s="116"/>
    </row>
    <row r="349" spans="1:9" ht="15" x14ac:dyDescent="0.25">
      <c r="A349" s="281"/>
      <c r="B349" s="335"/>
      <c r="C349" s="281"/>
      <c r="D349" s="403" t="str">
        <f>TEXT(DATE(2000,TEXT(H3,"M")-1,1),"mmm")&amp; " "&amp; TEXT(H3,"YYYY")</f>
        <v>Mar 2019</v>
      </c>
      <c r="E349" s="403"/>
      <c r="F349" s="280" t="s">
        <v>27</v>
      </c>
      <c r="G349" s="309"/>
      <c r="H349" s="281"/>
      <c r="I349" s="280" t="s">
        <v>27</v>
      </c>
    </row>
    <row r="350" spans="1:9" ht="15" x14ac:dyDescent="0.25">
      <c r="A350" s="281"/>
      <c r="B350" s="335"/>
      <c r="C350" s="281"/>
      <c r="D350" s="404"/>
      <c r="E350" s="404"/>
      <c r="F350" s="280" t="s">
        <v>38</v>
      </c>
      <c r="G350" s="309"/>
      <c r="H350" s="281"/>
      <c r="I350" s="280" t="s">
        <v>147</v>
      </c>
    </row>
    <row r="351" spans="1:9" ht="15.75" thickBot="1" x14ac:dyDescent="0.3">
      <c r="A351" s="294"/>
      <c r="B351" s="336"/>
      <c r="C351" s="336" t="str">
        <f>TEXT($H$3,"MMM")&amp;" "&amp;TEXT($H$3,"YYYY")</f>
        <v>Apr 2019</v>
      </c>
      <c r="D351" s="405"/>
      <c r="E351" s="405"/>
      <c r="F351" s="284" t="s">
        <v>1</v>
      </c>
      <c r="G351" s="328"/>
      <c r="H351" s="336" t="str">
        <f>TEXT($H$3,"MMM")&amp;" "&amp;TEXT($H$3,"YYYY")-1</f>
        <v>Apr 2018</v>
      </c>
      <c r="I351" s="284" t="s">
        <v>28</v>
      </c>
    </row>
    <row r="352" spans="1:9" ht="15" x14ac:dyDescent="0.25">
      <c r="A352" s="330" t="s">
        <v>117</v>
      </c>
      <c r="B352" s="330"/>
      <c r="C352" s="330"/>
      <c r="D352" s="330"/>
      <c r="E352" s="330"/>
      <c r="F352" s="330"/>
      <c r="G352" s="330"/>
      <c r="H352" s="330"/>
      <c r="I352" s="330"/>
    </row>
    <row r="353" spans="1:9" ht="14.25" x14ac:dyDescent="0.2">
      <c r="A353" s="337" t="s">
        <v>14</v>
      </c>
      <c r="B353" s="248"/>
      <c r="C353" s="248"/>
      <c r="D353" s="401"/>
      <c r="E353" s="401"/>
      <c r="F353" s="248"/>
      <c r="G353" s="248"/>
      <c r="H353" s="248"/>
      <c r="I353" s="248"/>
    </row>
    <row r="354" spans="1:9" ht="14.25" x14ac:dyDescent="0.2">
      <c r="A354" s="248" t="s">
        <v>446</v>
      </c>
      <c r="B354" s="380"/>
      <c r="C354" s="249">
        <f>SUMIFS(Data!$V$2:$V$15,Data!$S$2:$S$15,MarketProfile!A354,Data!$X$2:$X$15,"1")+IFERROR(VLOOKUP(A354,ITaC!$A$3:$D$8,4,FALSE),0)</f>
        <v>217825</v>
      </c>
      <c r="D354" s="401">
        <f>SUMIFS(Data!$V$33:$V$48,Data!$S$33:$S$48,MarketProfile!A354,Data!$X$33:$X$48,"1")</f>
        <v>342637</v>
      </c>
      <c r="E354" s="401"/>
      <c r="F354" s="286">
        <f>IFERROR(IF(OR(AND(D354="",C354=""),AND(D354=0,C354=0)),"",
IF(OR(D354="",D354=0),1,
IF(OR(D354&lt;&gt;"",D354&lt;&gt;0),(C354-D354)/ABS(D354)))),-1)</f>
        <v>-0.36426889098375248</v>
      </c>
      <c r="G354" s="401">
        <f>SUMIFS(Data!$V$63:$V$78,Data!$S$63:$S$78,MarketProfile!A354,Data!$X$63:$X$78,"1")</f>
        <v>198393</v>
      </c>
      <c r="H354" s="401"/>
      <c r="I354" s="286">
        <f t="shared" ref="I354:I367" si="22">IFERROR(IF(OR(AND(G354="",C354=""),AND(G354=0,C354=0)),"",
IF(OR(G354="",G354=0),1,
IF(OR(G354&lt;&gt;"",G354&lt;&gt;0),(C354-G354)/ABS(G354)))),-1)</f>
        <v>9.7947004178574854E-2</v>
      </c>
    </row>
    <row r="355" spans="1:9" ht="14.25" x14ac:dyDescent="0.2">
      <c r="A355" s="248" t="s">
        <v>447</v>
      </c>
      <c r="B355" s="380"/>
      <c r="C355" s="364">
        <f>SUMIFS(Data!$V$2:$V$15,Data!$S$2:$S$15,MarketProfile!A355,Data!$X$2:$X$15,"1")+IFERROR(VLOOKUP(A355,ITaC!$A$3:$D$8,4,FALSE),0)</f>
        <v>3637</v>
      </c>
      <c r="D355" s="401">
        <f>SUMIFS(Data!$V$33:$V$48,Data!$S$33:$S$48,MarketProfile!A355,Data!$X$33:$X$48,"1")</f>
        <v>6884</v>
      </c>
      <c r="E355" s="401"/>
      <c r="F355" s="286">
        <f t="shared" ref="F355:F361" si="23">IFERROR(IF(OR(AND(D355="",C355=""),AND(D355=0,C355=0)),"",
IF(OR(D355="",D355=0),1,
IF(OR(D355&lt;&gt;"",D355&lt;&gt;0),(C355-D355)/ABS(D355)))),-1)</f>
        <v>-0.47167344567112146</v>
      </c>
      <c r="G355" s="401">
        <f>SUMIFS(Data!$V$63:$V$78,Data!$S$63:$S$78,MarketProfile!A355,Data!$X$63:$X$78,"1")</f>
        <v>3238</v>
      </c>
      <c r="H355" s="401"/>
      <c r="I355" s="286">
        <f t="shared" si="22"/>
        <v>0.12322421247683756</v>
      </c>
    </row>
    <row r="356" spans="1:9" ht="14.25" x14ac:dyDescent="0.2">
      <c r="A356" s="248" t="s">
        <v>448</v>
      </c>
      <c r="B356" s="380"/>
      <c r="C356" s="364">
        <f>SUMIFS(Data!$V$2:$V$15,Data!$S$2:$S$15,MarketProfile!A356,Data!$X$2:$X$15,"1")+IFERROR(VLOOKUP(A356,ITaC!$A$3:$D$8,4,FALSE),0)</f>
        <v>3266</v>
      </c>
      <c r="D356" s="401">
        <f>SUMIFS(Data!$V$33:$V$48,Data!$S$33:$S$48,MarketProfile!A356,Data!$X$33:$X$48,"1")</f>
        <v>6606</v>
      </c>
      <c r="E356" s="401"/>
      <c r="F356" s="286">
        <f t="shared" si="23"/>
        <v>-0.50560096881622762</v>
      </c>
      <c r="G356" s="401">
        <f>SUMIFS(Data!$V$63:$V$78,Data!$S$63:$S$78,MarketProfile!A356,Data!$X$63:$X$78,"1")</f>
        <v>3049</v>
      </c>
      <c r="H356" s="401"/>
      <c r="I356" s="286">
        <f t="shared" si="22"/>
        <v>7.1170875696949826E-2</v>
      </c>
    </row>
    <row r="357" spans="1:9" ht="14.25" x14ac:dyDescent="0.2">
      <c r="A357" s="248" t="s">
        <v>182</v>
      </c>
      <c r="B357" s="380"/>
      <c r="C357" s="364">
        <f>SUMIFS(Data!$V$2:$V$15,Data!$S$2:$S$15,MarketProfile!A357,Data!$X$2:$X$15,"1")+IFERROR(VLOOKUP(A357,ITaC!$A$3:$D$8,4,FALSE),0)</f>
        <v>292</v>
      </c>
      <c r="D357" s="401">
        <f>SUMIFS(Data!$V$33:$V$48,Data!$S$33:$S$48,MarketProfile!A357,Data!$X$33:$X$48,"1")</f>
        <v>485</v>
      </c>
      <c r="E357" s="401"/>
      <c r="F357" s="286">
        <f t="shared" si="23"/>
        <v>-0.39793814432989688</v>
      </c>
      <c r="G357" s="401">
        <f>SUMIFS(Data!$V$63:$V$78,Data!$S$63:$S$78,MarketProfile!A357,Data!$X$63:$X$78,"1")</f>
        <v>259</v>
      </c>
      <c r="H357" s="401"/>
      <c r="I357" s="286">
        <f t="shared" si="22"/>
        <v>0.12741312741312741</v>
      </c>
    </row>
    <row r="358" spans="1:9" ht="14.25" x14ac:dyDescent="0.2">
      <c r="A358" s="248" t="s">
        <v>449</v>
      </c>
      <c r="B358" s="380"/>
      <c r="C358" s="364">
        <f>SUMIFS(Data!$V$2:$V$15,Data!$S$2:$S$15,MarketProfile!A358,Data!$X$2:$X$15,"1")+IFERROR(VLOOKUP(A358,ITaC!$A$3:$D$8,4,FALSE),0)</f>
        <v>33</v>
      </c>
      <c r="D358" s="401">
        <f>SUMIFS(Data!$V$33:$V$48,Data!$S$33:$S$48,MarketProfile!A358,Data!$X$33:$X$48,"1")</f>
        <v>274</v>
      </c>
      <c r="E358" s="401"/>
      <c r="F358" s="286">
        <f t="shared" si="23"/>
        <v>-0.87956204379562042</v>
      </c>
      <c r="G358" s="401">
        <f>SUMIFS(Data!$V$63:$V$78,Data!$S$63:$S$78,MarketProfile!A358,Data!$X$63:$X$78,"1")</f>
        <v>71</v>
      </c>
      <c r="H358" s="401"/>
      <c r="I358" s="286">
        <f t="shared" si="22"/>
        <v>-0.53521126760563376</v>
      </c>
    </row>
    <row r="359" spans="1:9" ht="14.25" x14ac:dyDescent="0.2">
      <c r="A359" s="248" t="s">
        <v>450</v>
      </c>
      <c r="B359" s="380"/>
      <c r="C359" s="364">
        <f>SUMIFS(Data!$V$2:$V$15,Data!$S$2:$S$15,MarketProfile!A359,Data!$X$2:$X$15,"1")+IFERROR(VLOOKUP(A359,ITaC!$A$3:$D$8,4,FALSE),0)</f>
        <v>28</v>
      </c>
      <c r="D359" s="401">
        <f>SUMIFS(Data!$V$33:$V$48,Data!$S$33:$S$48,MarketProfile!A359,Data!$X$33:$X$48,"1")</f>
        <v>273</v>
      </c>
      <c r="E359" s="401"/>
      <c r="F359" s="286">
        <f t="shared" si="23"/>
        <v>-0.89743589743589747</v>
      </c>
      <c r="G359" s="401">
        <f>SUMIFS(Data!$V$63:$V$78,Data!$S$63:$S$78,MarketProfile!A359,Data!$X$63:$X$78,"1")</f>
        <v>50</v>
      </c>
      <c r="H359" s="401"/>
      <c r="I359" s="286">
        <f t="shared" si="22"/>
        <v>-0.44</v>
      </c>
    </row>
    <row r="360" spans="1:9" ht="14.25" x14ac:dyDescent="0.2">
      <c r="A360" s="248" t="s">
        <v>451</v>
      </c>
      <c r="B360" s="380"/>
      <c r="C360" s="364">
        <f>SUMIFS(Data!$V$2:$V$15,Data!$S$2:$S$15,MarketProfile!A360,Data!$X$2:$X$15,"1")+IFERROR(VLOOKUP(A360,ITaC!$A$3:$D$8,4,FALSE),0)</f>
        <v>278</v>
      </c>
      <c r="D360" s="401">
        <f>SUMIFS(Data!$V$33:$V$48,Data!$S$33:$S$48,MarketProfile!A360,Data!$X$33:$X$48,"1")</f>
        <v>228</v>
      </c>
      <c r="E360" s="401"/>
      <c r="F360" s="286">
        <f t="shared" si="23"/>
        <v>0.21929824561403508</v>
      </c>
      <c r="G360" s="401">
        <f>SUMIFS(Data!$V$63:$V$78,Data!$S$63:$S$78,MarketProfile!A360,Data!$X$63:$X$78,"1")</f>
        <v>132</v>
      </c>
      <c r="H360" s="401"/>
      <c r="I360" s="286">
        <f t="shared" si="22"/>
        <v>1.106060606060606</v>
      </c>
    </row>
    <row r="361" spans="1:9" ht="15" x14ac:dyDescent="0.25">
      <c r="A361" s="288" t="s">
        <v>133</v>
      </c>
      <c r="B361" s="250"/>
      <c r="C361" s="250">
        <f>SUM(C354:C360)</f>
        <v>225359</v>
      </c>
      <c r="D361" s="402">
        <f>SUM(D354:E360)</f>
        <v>357387</v>
      </c>
      <c r="E361" s="402"/>
      <c r="F361" s="324">
        <f t="shared" si="23"/>
        <v>-0.36942586048177467</v>
      </c>
      <c r="G361" s="402">
        <f>SUM(G354:H360)</f>
        <v>205192</v>
      </c>
      <c r="H361" s="402">
        <v>228310</v>
      </c>
      <c r="I361" s="324">
        <f t="shared" si="22"/>
        <v>9.828355881320909E-2</v>
      </c>
    </row>
    <row r="362" spans="1:9" ht="14.25" x14ac:dyDescent="0.2">
      <c r="A362" s="248"/>
      <c r="B362" s="249"/>
      <c r="C362" s="249"/>
      <c r="D362" s="401"/>
      <c r="E362" s="401"/>
      <c r="F362" s="286"/>
      <c r="G362" s="248"/>
      <c r="H362" s="249"/>
      <c r="I362" s="286" t="str">
        <f t="shared" si="22"/>
        <v/>
      </c>
    </row>
    <row r="363" spans="1:9" ht="15" x14ac:dyDescent="0.25">
      <c r="A363" s="337" t="s">
        <v>206</v>
      </c>
      <c r="B363" s="250"/>
      <c r="C363" s="250"/>
      <c r="D363" s="401"/>
      <c r="E363" s="401"/>
      <c r="F363" s="286"/>
      <c r="G363" s="248"/>
      <c r="H363" s="250"/>
      <c r="I363" s="324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644</v>
      </c>
      <c r="D364" s="401">
        <f>SUMIFS(Data!$V$33:$V$48,Data!$S$33:$S$48,MarketProfile!A364,Data!$X$33:$X$48,"0")</f>
        <v>619</v>
      </c>
      <c r="E364" s="401"/>
      <c r="F364" s="286">
        <f t="shared" ref="F364:F368" si="24">IFERROR(IF(OR(AND(D364="",C364=""),AND(D364=0,C364=0)),"",
IF(OR(D364="",D364=0),1,
IF(OR(D364&lt;&gt;"",D364&lt;&gt;0),(C364-D364)/ABS(D364)))),-1)</f>
        <v>4.0387722132471729E-2</v>
      </c>
      <c r="G364" s="401">
        <f>SUMIFS(Data!$V$63:$V$78,Data!$S$63:$S$78,MarketProfile!A364,Data!$X$63:$X$78,"0")</f>
        <v>544</v>
      </c>
      <c r="H364" s="401"/>
      <c r="I364" s="286">
        <f t="shared" si="22"/>
        <v>0.18382352941176472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289</v>
      </c>
      <c r="D365" s="401">
        <f>SUMIFS(Data!$V$33:$V$48,Data!$S$33:$S$48,MarketProfile!A365,Data!$X$33:$X$48,"0")</f>
        <v>338</v>
      </c>
      <c r="E365" s="401"/>
      <c r="F365" s="286">
        <f t="shared" si="24"/>
        <v>-0.14497041420118342</v>
      </c>
      <c r="G365" s="401">
        <f>SUMIFS(Data!$V$63:$V$78,Data!$S$63:$S$78,MarketProfile!A365,Data!$X$63:$X$78,"0")</f>
        <v>295</v>
      </c>
      <c r="H365" s="401"/>
      <c r="I365" s="286">
        <f t="shared" si="22"/>
        <v>-2.0338983050847456E-2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112</v>
      </c>
      <c r="D366" s="401">
        <f>SUMIFS(Data!$V$33:$V$48,Data!$S$33:$S$48,MarketProfile!A366,Data!$X$33:$X$48,"0")</f>
        <v>119</v>
      </c>
      <c r="E366" s="401"/>
      <c r="F366" s="286">
        <f t="shared" si="24"/>
        <v>-5.8823529411764705E-2</v>
      </c>
      <c r="G366" s="401">
        <f>SUMIFS(Data!$V$63:$V$78,Data!$S$63:$S$78,MarketProfile!A366,Data!$X$63:$X$78,"0")</f>
        <v>66</v>
      </c>
      <c r="H366" s="401"/>
      <c r="I366" s="286">
        <f t="shared" si="22"/>
        <v>0.69696969696969702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401">
        <f>SUMIFS(Data!$V$33:$V$48,Data!$S$33:$S$48,MarketProfile!A367,Data!$X$33:$X$48,"0")</f>
        <v>0</v>
      </c>
      <c r="E367" s="401"/>
      <c r="F367" s="286" t="str">
        <f t="shared" si="24"/>
        <v/>
      </c>
      <c r="G367" s="401">
        <f>SUMIFS(Data!$V$63:$V$78,Data!$S$63:$S$78,MarketProfile!A367,Data!$X$63:$X$78,"0")</f>
        <v>0</v>
      </c>
      <c r="H367" s="401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1045</v>
      </c>
      <c r="D368" s="402">
        <f t="shared" ref="D368:E368" si="25">SUM(D364:D367)</f>
        <v>1076</v>
      </c>
      <c r="E368" s="402">
        <f t="shared" si="25"/>
        <v>0</v>
      </c>
      <c r="F368" s="324">
        <f t="shared" si="24"/>
        <v>-2.8810408921933085E-2</v>
      </c>
      <c r="G368" s="402">
        <f>SUM(G364:H367)</f>
        <v>905</v>
      </c>
      <c r="H368" s="402">
        <v>1646</v>
      </c>
      <c r="I368" s="324">
        <f>IFERROR(IF(OR(AND(G368="",C368=""),AND(G368=0,C368=0)),"",
IF(OR(G368="",G368=0),1,
IF(OR(G368&lt;&gt;"",G368&lt;&gt;0),(C368-G368)/ABS(G368)))),-1)</f>
        <v>0.15469613259668508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0" t="s">
        <v>207</v>
      </c>
      <c r="B370" s="330"/>
      <c r="C370" s="330"/>
      <c r="D370" s="330"/>
      <c r="E370" s="330"/>
      <c r="F370" s="338"/>
      <c r="G370" s="330"/>
      <c r="H370" s="330"/>
      <c r="I370" s="338"/>
    </row>
    <row r="371" spans="1:9" ht="14.25" x14ac:dyDescent="0.2">
      <c r="A371" s="337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381"/>
      <c r="C372" s="249">
        <f>SUMIFS(Data!$U$2:$U$15,Data!$S$2:$S$15,MarketProfile!A372,Data!$X$2:$X$15,"1")+IFERROR(VLOOKUP(A354,ITaC!$A$3:$D$8,3,FALSE),0)</f>
        <v>658679</v>
      </c>
      <c r="D372" s="401">
        <f>SUMIFS(Data!$U$33:$U$48,Data!$S$33:$S$48,MarketProfile!A372,Data!$X$33:$X$48,"1")</f>
        <v>2321665</v>
      </c>
      <c r="E372" s="401"/>
      <c r="F372" s="286">
        <f t="shared" ref="F372:F379" si="26">IFERROR(IF(OR(AND(D372="",C372=""),AND(D372=0,C372=0)),"",
IF(OR(D372="",D372=0),1,
IF(OR(D372&lt;&gt;"",D372&lt;&gt;0),(C372-D372)/ABS(D372)))),-1)</f>
        <v>-0.71629024859314328</v>
      </c>
      <c r="G372" s="401">
        <f>SUMIFS(Data!$U$63:$U$78,Data!$S$63:$S$78,MarketProfile!A372,Data!$X$63:$X$78,"1")</f>
        <v>718043</v>
      </c>
      <c r="H372" s="401"/>
      <c r="I372" s="286">
        <f t="shared" ref="I372:I379" si="27">IFERROR(IF(OR(AND(G372="",C372=""),AND(G372=0,C372=0)),"",
IF(OR(G372="",G372=0),1,
IF(OR(G372&lt;&gt;"",G372&lt;&gt;0),(C372-G372)/ABS(G372)))),-1)</f>
        <v>-8.2674714466960897E-2</v>
      </c>
    </row>
    <row r="373" spans="1:9" ht="14.25" x14ac:dyDescent="0.2">
      <c r="A373" s="248" t="s">
        <v>447</v>
      </c>
      <c r="B373" s="381"/>
      <c r="C373" s="364">
        <f>SUMIFS(Data!$U$2:$U$15,Data!$S$2:$S$15,MarketProfile!A373,Data!$X$2:$X$15,"1")+IFERROR(VLOOKUP(A355,ITaC!$A$3:$D$8,3,FALSE),0)</f>
        <v>225044</v>
      </c>
      <c r="D373" s="401">
        <f>SUMIFS(Data!$U$33:$U$48,Data!$S$33:$S$48,MarketProfile!A373,Data!$X$33:$X$48,"1")</f>
        <v>2145939</v>
      </c>
      <c r="E373" s="401"/>
      <c r="F373" s="286">
        <f t="shared" si="26"/>
        <v>-0.89513029028318136</v>
      </c>
      <c r="G373" s="401">
        <f>SUMIFS(Data!$U$63:$U$78,Data!$S$63:$S$78,MarketProfile!A373,Data!$X$63:$X$78,"1")</f>
        <v>314834</v>
      </c>
      <c r="H373" s="401"/>
      <c r="I373" s="286">
        <f t="shared" si="27"/>
        <v>-0.28519791382125181</v>
      </c>
    </row>
    <row r="374" spans="1:9" ht="14.25" x14ac:dyDescent="0.2">
      <c r="A374" s="248" t="s">
        <v>448</v>
      </c>
      <c r="B374" s="381"/>
      <c r="C374" s="364">
        <f>SUMIFS(Data!$U$2:$U$15,Data!$S$2:$S$15,MarketProfile!A374,Data!$X$2:$X$15,"1")+IFERROR(VLOOKUP(A356,ITaC!$A$3:$D$8,3,FALSE),0)</f>
        <v>151012</v>
      </c>
      <c r="D374" s="401">
        <f>SUMIFS(Data!$U$33:$U$48,Data!$S$33:$S$48,MarketProfile!A374,Data!$X$33:$X$48,"1")</f>
        <v>1532296</v>
      </c>
      <c r="E374" s="401"/>
      <c r="F374" s="286">
        <f t="shared" si="26"/>
        <v>-0.90144723995885911</v>
      </c>
      <c r="G374" s="401">
        <f>SUMIFS(Data!$U$63:$U$78,Data!$S$63:$S$78,MarketProfile!A374,Data!$X$63:$X$78,"1")</f>
        <v>179070</v>
      </c>
      <c r="H374" s="401"/>
      <c r="I374" s="286">
        <f t="shared" si="27"/>
        <v>-0.15668732897749482</v>
      </c>
    </row>
    <row r="375" spans="1:9" ht="14.25" x14ac:dyDescent="0.2">
      <c r="A375" s="248" t="s">
        <v>182</v>
      </c>
      <c r="B375" s="381"/>
      <c r="C375" s="364">
        <f>SUMIFS(Data!$U$2:$U$15,Data!$S$2:$S$15,MarketProfile!A375,Data!$X$2:$X$15,"1")+IFERROR(VLOOKUP(A357,ITaC!$A$3:$D$8,3,FALSE),0)</f>
        <v>1459999</v>
      </c>
      <c r="D375" s="401">
        <f>SUMIFS(Data!$U$33:$U$48,Data!$S$33:$S$48,MarketProfile!A375,Data!$X$33:$X$48,"1")</f>
        <v>6687337</v>
      </c>
      <c r="E375" s="401"/>
      <c r="F375" s="286">
        <f t="shared" si="26"/>
        <v>-0.78167707115702412</v>
      </c>
      <c r="G375" s="401">
        <f>SUMIFS(Data!$U$63:$U$78,Data!$S$63:$S$78,MarketProfile!A375,Data!$X$63:$X$78,"1")</f>
        <v>272710</v>
      </c>
      <c r="H375" s="401"/>
      <c r="I375" s="286">
        <f t="shared" si="27"/>
        <v>4.3536687323530492</v>
      </c>
    </row>
    <row r="376" spans="1:9" ht="14.25" x14ac:dyDescent="0.2">
      <c r="A376" s="248" t="s">
        <v>449</v>
      </c>
      <c r="B376" s="381"/>
      <c r="C376" s="364">
        <f>SUMIFS(Data!$U$2:$U$15,Data!$S$2:$S$15,MarketProfile!A376,Data!$X$2:$X$15,"1")+IFERROR(VLOOKUP(A358,ITaC!$A$3:$D$8,3,FALSE),0)</f>
        <v>361470</v>
      </c>
      <c r="D376" s="401">
        <f>SUMIFS(Data!$U$33:$U$48,Data!$S$33:$S$48,MarketProfile!A376,Data!$X$33:$X$48,"1")</f>
        <v>3917595</v>
      </c>
      <c r="E376" s="401"/>
      <c r="F376" s="286">
        <f t="shared" si="26"/>
        <v>-0.90773165679453849</v>
      </c>
      <c r="G376" s="401">
        <f>SUMIFS(Data!$U$63:$U$78,Data!$S$63:$S$78,MarketProfile!A376,Data!$X$63:$X$78,"1")</f>
        <v>866011</v>
      </c>
      <c r="H376" s="401"/>
      <c r="I376" s="286">
        <f t="shared" si="27"/>
        <v>-0.58260345422864146</v>
      </c>
    </row>
    <row r="377" spans="1:9" ht="14.25" x14ac:dyDescent="0.2">
      <c r="A377" s="248" t="s">
        <v>450</v>
      </c>
      <c r="B377" s="381"/>
      <c r="C377" s="364">
        <f>SUMIFS(Data!$U$2:$U$15,Data!$S$2:$S$15,MarketProfile!A377,Data!$X$2:$X$15,"1")+IFERROR(VLOOKUP(A359,ITaC!$A$3:$D$8,3,FALSE),0)</f>
        <v>358529</v>
      </c>
      <c r="D377" s="401">
        <f>SUMIFS(Data!$U$33:$U$48,Data!$S$33:$S$48,MarketProfile!A377,Data!$X$33:$X$48,"1")</f>
        <v>3501196</v>
      </c>
      <c r="E377" s="401"/>
      <c r="F377" s="286">
        <f t="shared" si="26"/>
        <v>-0.89759813503728436</v>
      </c>
      <c r="G377" s="401">
        <f>SUMIFS(Data!$U$63:$U$78,Data!$S$63:$S$78,MarketProfile!A377,Data!$X$63:$X$78,"1")</f>
        <v>1152764</v>
      </c>
      <c r="H377" s="401"/>
      <c r="I377" s="286">
        <f t="shared" si="27"/>
        <v>-0.68898317435311995</v>
      </c>
    </row>
    <row r="378" spans="1:9" ht="14.25" x14ac:dyDescent="0.2">
      <c r="A378" s="248" t="s">
        <v>451</v>
      </c>
      <c r="B378" s="381"/>
      <c r="C378" s="364">
        <f>SUMIFS(Data!$U$2:$U$15,Data!$S$2:$S$15,MarketProfile!A378,Data!$X$2:$X$15,"1")+IFERROR(VLOOKUP(A360,ITaC!$A$3:$D$8,3,FALSE),0)</f>
        <v>213651</v>
      </c>
      <c r="D378" s="401">
        <f>SUMIFS(Data!$U$33:$U$48,Data!$S$33:$S$48,MarketProfile!A378,Data!$X$33:$X$48,"1")</f>
        <v>251475</v>
      </c>
      <c r="E378" s="401"/>
      <c r="F378" s="286">
        <f t="shared" si="26"/>
        <v>-0.15040858932299433</v>
      </c>
      <c r="G378" s="401">
        <f>SUMIFS(Data!$U$63:$U$78,Data!$S$63:$S$78,MarketProfile!A378,Data!$X$63:$X$78,"1")</f>
        <v>98460</v>
      </c>
      <c r="H378" s="401"/>
      <c r="I378" s="286">
        <f t="shared" si="27"/>
        <v>1.169926873857404</v>
      </c>
    </row>
    <row r="379" spans="1:9" ht="15" x14ac:dyDescent="0.25">
      <c r="A379" s="288" t="s">
        <v>133</v>
      </c>
      <c r="B379" s="381"/>
      <c r="C379" s="250">
        <f>SUM(C372:C378)</f>
        <v>3428384</v>
      </c>
      <c r="D379" s="402">
        <f>SUM(D372:E378)</f>
        <v>20357503</v>
      </c>
      <c r="E379" s="402"/>
      <c r="F379" s="324">
        <f t="shared" si="26"/>
        <v>-0.83159113374562688</v>
      </c>
      <c r="G379" s="402">
        <f>SUM(G372:H378)</f>
        <v>3601892</v>
      </c>
      <c r="H379" s="402">
        <v>17193059</v>
      </c>
      <c r="I379" s="324">
        <f t="shared" si="27"/>
        <v>-4.8171349946083894E-2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7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SUMIFS(Data!$U$2:$U$15,Data!$S$2:$S$15,MarketProfile!A382,Data!$X$2:$X$15,"0")+IFERROR(VLOOKUP(A400,ITaC!$A$11:$D$12,3,FALSE),0)</f>
        <v>456945</v>
      </c>
      <c r="D382" s="401">
        <f>SUMIFS(Data!$U$33:$U$48,Data!$S$33:$S$48,MarketProfile!A382,Data!$X$33:$X$48,"0")</f>
        <v>457416</v>
      </c>
      <c r="E382" s="401"/>
      <c r="F382" s="286">
        <f t="shared" ref="F382:F386" si="28">IFERROR(IF(OR(AND(D382="",C382=""),AND(D382=0,C382=0)),"",
IF(OR(D382="",D382=0),1,
IF(OR(D382&lt;&gt;"",D382&lt;&gt;0),(C382-D382)/ABS(D382)))),-1)</f>
        <v>-1.0296972558896059E-3</v>
      </c>
      <c r="G382" s="401">
        <f>SUMIFS(Data!$U$63:$U$78,Data!$S$63:$S$78,MarketProfile!A382,Data!$X$63:$X$78,"0")</f>
        <v>335297</v>
      </c>
      <c r="H382" s="401"/>
      <c r="I382" s="286">
        <f t="shared" ref="I382:I386" si="29">IFERROR(IF(OR(AND(G382="",C382=""),AND(G382=0,C382=0)),"",
IF(OR(G382="",G382=0),1,
IF(OR(G382&lt;&gt;"",G382&lt;&gt;0),(C382-G382)/ABS(G382)))),-1)</f>
        <v>0.36280670569674051</v>
      </c>
    </row>
    <row r="383" spans="1:9" ht="14.25" x14ac:dyDescent="0.2">
      <c r="A383" s="248" t="s">
        <v>447</v>
      </c>
      <c r="B383" s="364"/>
      <c r="C383" s="249">
        <f>SUMIFS(Data!$U$2:$U$15,Data!$S$2:$S$15,MarketProfile!A383,Data!$X$2:$X$15,"0")+IFERROR(VLOOKUP(A401,ITaC!$A$11:$D$12,3,FALSE),0)</f>
        <v>260916</v>
      </c>
      <c r="D383" s="401">
        <f>SUMIFS(Data!$U$33:$U$48,Data!$S$33:$S$48,MarketProfile!A383,Data!$X$33:$X$48,"0")</f>
        <v>492293</v>
      </c>
      <c r="E383" s="401"/>
      <c r="F383" s="286">
        <f t="shared" si="28"/>
        <v>-0.46999855776945842</v>
      </c>
      <c r="G383" s="401">
        <f>SUMIFS(Data!$U$63:$U$78,Data!$S$63:$S$78,MarketProfile!A383,Data!$X$63:$X$78,"0")</f>
        <v>299752</v>
      </c>
      <c r="H383" s="401"/>
      <c r="I383" s="286">
        <f t="shared" si="29"/>
        <v>-0.12956043662761216</v>
      </c>
    </row>
    <row r="384" spans="1:9" ht="14.25" x14ac:dyDescent="0.2">
      <c r="A384" s="248" t="s">
        <v>451</v>
      </c>
      <c r="B384" s="364"/>
      <c r="C384" s="249">
        <f>SUMIFS(Data!$U$2:$U$15,Data!$S$2:$S$15,MarketProfile!A384,Data!$X$2:$X$15,"0")</f>
        <v>35133</v>
      </c>
      <c r="D384" s="401">
        <f>SUMIFS(Data!$U$33:$U$48,Data!$S$33:$S$48,MarketProfile!A384,Data!$X$33:$X$48,"0")</f>
        <v>564824</v>
      </c>
      <c r="E384" s="401"/>
      <c r="F384" s="286">
        <f t="shared" si="28"/>
        <v>-0.93779832301743549</v>
      </c>
      <c r="G384" s="401">
        <f>SUMIFS(Data!$U$63:$U$78,Data!$S$63:$S$78,MarketProfile!A384,Data!$X$63:$X$78,"0")</f>
        <v>83171</v>
      </c>
      <c r="H384" s="401"/>
      <c r="I384" s="286">
        <f t="shared" si="29"/>
        <v>-0.5775811280374169</v>
      </c>
    </row>
    <row r="385" spans="1:9" ht="14.25" x14ac:dyDescent="0.2">
      <c r="A385" s="248" t="s">
        <v>448</v>
      </c>
      <c r="B385" s="364"/>
      <c r="C385" s="249">
        <f>SUMIFS(Data!$U$2:$U$15,Data!$S$2:$S$15,MarketProfile!A385,Data!$X$2:$X$15,"0")</f>
        <v>0</v>
      </c>
      <c r="D385" s="401">
        <f>SUMIFS(Data!$U$33:$U$48,Data!$S$33:$S$48,MarketProfile!A385,Data!$X$33:$X$48,"0")</f>
        <v>0</v>
      </c>
      <c r="E385" s="401"/>
      <c r="F385" s="286" t="str">
        <f t="shared" si="28"/>
        <v/>
      </c>
      <c r="G385" s="401">
        <f>SUMIFS(Data!$U$63:$U$78,Data!$S$63:$S$78,MarketProfile!A385,Data!$X$63:$X$78,"0")</f>
        <v>0</v>
      </c>
      <c r="H385" s="401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752994</v>
      </c>
      <c r="D386" s="402">
        <f>SUM(D382:E385)</f>
        <v>1514533</v>
      </c>
      <c r="E386" s="402">
        <f>SUM(E382:E385)</f>
        <v>0</v>
      </c>
      <c r="F386" s="324">
        <f t="shared" si="28"/>
        <v>-0.50282100158926879</v>
      </c>
      <c r="G386" s="402">
        <f>SUM(G382:H385)</f>
        <v>718220</v>
      </c>
      <c r="H386" s="402">
        <v>677531</v>
      </c>
      <c r="I386" s="324">
        <f t="shared" si="29"/>
        <v>4.8416919606805713E-2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0" t="s">
        <v>208</v>
      </c>
      <c r="B388" s="330"/>
      <c r="C388" s="330"/>
      <c r="D388" s="330"/>
      <c r="E388" s="330"/>
      <c r="F388" s="338"/>
      <c r="G388" s="330"/>
      <c r="H388" s="330"/>
      <c r="I388" s="338"/>
    </row>
    <row r="389" spans="1:9" ht="14.25" x14ac:dyDescent="0.2">
      <c r="A389" s="337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381"/>
      <c r="C390" s="249">
        <f>SUMIFS(Data!$T$2:$T$15,Data!$S$2:$S$15,MarketProfile!A390,Data!$X$2:$X$15,"1")/1000+IFERROR(VLOOKUP(A390,ITaC!$A$3:$D$8,2,FALSE),0)/1000</f>
        <v>240171522.43581522</v>
      </c>
      <c r="D390" s="424">
        <f>ITaC!F23</f>
        <v>699993765.41719449</v>
      </c>
      <c r="E390" s="424"/>
      <c r="F390" s="286">
        <f t="shared" ref="F390:F396" si="30">IFERROR(IF(OR(AND(D390="",C390=""),AND(D390=0,C390=0)),"",
IF(OR(D390="",D390=0),1,
IF(OR(D390&lt;&gt;"",D390&lt;&gt;0),(C390-D390)/ABS(D390)))),-1)</f>
        <v>-0.65689476920887491</v>
      </c>
      <c r="G390" s="401">
        <f>SUMIFS(Data!$T$63:$T$78,Data!$S$63:$S$78,MarketProfile!A390,Data!$X$63:$X$78,"1")/1000</f>
        <v>248156006.05121973</v>
      </c>
      <c r="H390" s="401"/>
      <c r="I390" s="286">
        <f t="shared" ref="I390:I397" si="31">IFERROR(IF(OR(AND(G390="",C390=""),AND(G390=0,C390=0)),"",
IF(OR(G390="",G390=0),1,
IF(OR(G390&lt;&gt;"",G390&lt;&gt;0),(C390-G390)/ABS(G390)))),-1)</f>
        <v>-3.2175258388694845E-2</v>
      </c>
    </row>
    <row r="391" spans="1:9" ht="14.25" x14ac:dyDescent="0.2">
      <c r="A391" s="248" t="s">
        <v>447</v>
      </c>
      <c r="B391" s="381"/>
      <c r="C391" s="249">
        <f>SUMIFS(Data!$T$2:$T$15,Data!$S$2:$S$15,MarketProfile!A391,Data!$X$2:$X$15,"1")/1000+IFERROR(VLOOKUP(A391,ITaC!$A$3:$D$8,2,FALSE),0)/1000</f>
        <v>8420430.8805999998</v>
      </c>
      <c r="D391" s="424">
        <f>ITaC!F24</f>
        <v>23921704.083603002</v>
      </c>
      <c r="E391" s="424"/>
      <c r="F391" s="286">
        <f t="shared" si="30"/>
        <v>-0.64800037442266767</v>
      </c>
      <c r="G391" s="401">
        <f>SUMIFS(Data!$T$63:$T$78,Data!$S$63:$S$78,MarketProfile!A391,Data!$X$63:$X$78,"1")/1000</f>
        <v>4676248.9251680002</v>
      </c>
      <c r="H391" s="401"/>
      <c r="I391" s="286">
        <f t="shared" si="31"/>
        <v>0.80068063427514935</v>
      </c>
    </row>
    <row r="392" spans="1:9" ht="14.25" x14ac:dyDescent="0.2">
      <c r="A392" s="248" t="s">
        <v>448</v>
      </c>
      <c r="B392" s="381"/>
      <c r="C392" s="249">
        <f>SUMIFS(Data!$T$2:$T$15,Data!$S$2:$S$15,MarketProfile!A392,Data!$X$2:$X$15,"1")/1000+IFERROR(VLOOKUP(A392,ITaC!$A$3:$D$8,2,FALSE),0)/1000</f>
        <v>31267.932000000001</v>
      </c>
      <c r="D392" s="424">
        <f>ITaC!F25</f>
        <v>66134.558520000006</v>
      </c>
      <c r="E392" s="424"/>
      <c r="F392" s="286">
        <f t="shared" si="30"/>
        <v>-0.52720736783108413</v>
      </c>
      <c r="G392" s="401">
        <f>SUMIFS(Data!$T$63:$T$78,Data!$S$63:$S$78,MarketProfile!A392,Data!$X$63:$X$78,"1")/1000</f>
        <v>4056.5146</v>
      </c>
      <c r="H392" s="401"/>
      <c r="I392" s="286">
        <f t="shared" si="31"/>
        <v>6.7080782600905717</v>
      </c>
    </row>
    <row r="393" spans="1:9" ht="14.25" x14ac:dyDescent="0.2">
      <c r="A393" s="248" t="s">
        <v>182</v>
      </c>
      <c r="B393" s="381"/>
      <c r="C393" s="249">
        <f>SUMIFS(Data!$T$2:$T$15,Data!$S$2:$S$15,MarketProfile!A393,Data!$X$2:$X$15,"1")/1000+IFERROR(VLOOKUP(A393,ITaC!$A$3:$D$8,2,FALSE),0)/1000</f>
        <v>97657.215095000007</v>
      </c>
      <c r="D393" s="424">
        <f>ITaC!F26</f>
        <v>170370.69796700001</v>
      </c>
      <c r="E393" s="424"/>
      <c r="F393" s="286">
        <f t="shared" si="30"/>
        <v>-0.42679570923683285</v>
      </c>
      <c r="G393" s="401">
        <f>SUMIFS(Data!$T$63:$T$78,Data!$S$63:$S$78,MarketProfile!A393,Data!$X$63:$X$78,"1")/1000</f>
        <v>46631.310882999998</v>
      </c>
      <c r="H393" s="401"/>
      <c r="I393" s="286">
        <f t="shared" si="31"/>
        <v>1.0942412564816426</v>
      </c>
    </row>
    <row r="394" spans="1:9" ht="14.25" x14ac:dyDescent="0.2">
      <c r="A394" s="248" t="s">
        <v>449</v>
      </c>
      <c r="B394" s="381"/>
      <c r="C394" s="249">
        <f>SUMIFS(Data!$T$2:$T$15,Data!$S$2:$S$15,MarketProfile!A394,Data!$X$2:$X$15,"1")/1000+IFERROR(VLOOKUP(A394,ITaC!$A$3:$D$8,2,FALSE),0)/1000</f>
        <v>696452.72902099998</v>
      </c>
      <c r="D394" s="424">
        <f>ITaC!F27</f>
        <v>3027098.9345530001</v>
      </c>
      <c r="E394" s="424"/>
      <c r="F394" s="286">
        <f t="shared" si="30"/>
        <v>-0.76992733171972061</v>
      </c>
      <c r="G394" s="401">
        <f>SUMIFS(Data!$T$63:$T$78,Data!$S$63:$S$78,MarketProfile!A394,Data!$X$63:$X$78,"1")/1000</f>
        <v>856031.49397820001</v>
      </c>
      <c r="H394" s="401"/>
      <c r="I394" s="286">
        <f t="shared" si="31"/>
        <v>-0.18641693218037597</v>
      </c>
    </row>
    <row r="395" spans="1:9" ht="14.25" x14ac:dyDescent="0.2">
      <c r="A395" s="248" t="s">
        <v>450</v>
      </c>
      <c r="B395" s="381"/>
      <c r="C395" s="249">
        <f>SUMIFS(Data!$T$2:$T$15,Data!$S$2:$S$15,MarketProfile!A395,Data!$X$2:$X$15,"1")/1000+IFERROR(VLOOKUP(A395,ITaC!$A$3:$D$8,2,FALSE),0)/1000</f>
        <v>23552.3806</v>
      </c>
      <c r="D395" s="424">
        <f>ITaC!F28</f>
        <v>4490.42</v>
      </c>
      <c r="E395" s="424"/>
      <c r="F395" s="286">
        <f t="shared" si="30"/>
        <v>4.2450284383198005</v>
      </c>
      <c r="G395" s="401">
        <f>SUMIFS(Data!$T$63:$T$78,Data!$S$63:$S$78,MarketProfile!A395,Data!$X$63:$X$78,"1")</f>
        <v>0</v>
      </c>
      <c r="H395" s="401"/>
      <c r="I395" s="286">
        <f t="shared" si="31"/>
        <v>1</v>
      </c>
    </row>
    <row r="396" spans="1:9" ht="14.25" x14ac:dyDescent="0.2">
      <c r="A396" s="248" t="s">
        <v>451</v>
      </c>
      <c r="B396" s="381"/>
      <c r="C396" s="249">
        <f>SUMIFS(Data!$T$2:$T$15,Data!$S$2:$S$15,MarketProfile!A396,Data!$X$2:$X$15,"1")/1000+IFERROR(VLOOKUP(A396,ITaC!$A$3:$D$8,2,FALSE),0)/1000</f>
        <v>2789846.9101260002</v>
      </c>
      <c r="D396" s="424">
        <f>ITaC!F29</f>
        <v>1873731.039716</v>
      </c>
      <c r="E396" s="424"/>
      <c r="F396" s="286">
        <f t="shared" si="30"/>
        <v>0.48892602566313637</v>
      </c>
      <c r="G396" s="401">
        <f>SUMIFS(Data!$T$63:$T$78,Data!$S$63:$S$78,MarketProfile!A396,Data!$X$63:$X$78,"1")/1000</f>
        <v>1147803.2868340001</v>
      </c>
      <c r="H396" s="401"/>
      <c r="I396" s="286">
        <f t="shared" si="31"/>
        <v>1.4305967251768978</v>
      </c>
    </row>
    <row r="397" spans="1:9" ht="15" x14ac:dyDescent="0.25">
      <c r="A397" s="288" t="s">
        <v>133</v>
      </c>
      <c r="B397" s="250"/>
      <c r="C397" s="250">
        <f>SUM(C390:C396)</f>
        <v>252230730.48325726</v>
      </c>
      <c r="D397" s="402">
        <f>SUM(D390:E396)</f>
        <v>729057295.15155351</v>
      </c>
      <c r="E397" s="402">
        <f>SUM(E390:E396)</f>
        <v>0</v>
      </c>
      <c r="F397" s="324">
        <f>IFERROR(IF(OR(AND(D397="",C397=""),AND(D397=0,C397=0)),"",
IF(OR(D397="",D397=0),1,
IF(OR(D397&lt;&gt;"",D397&lt;&gt;0),(C397-D397)/ABS(D397)))),-1)</f>
        <v>-0.65403167602784285</v>
      </c>
      <c r="G397" s="402">
        <f>SUM(G390:H396)</f>
        <v>254886777.58268294</v>
      </c>
      <c r="H397" s="402">
        <v>320543973</v>
      </c>
      <c r="I397" s="324">
        <f t="shared" si="31"/>
        <v>-1.042049777793623E-2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7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SUMIFS(Data!$T$2:$T$15,Data!$S$2:$S$15,MarketProfile!A400,Data!$X$2:$X$15,"0")/1000+IFERROR(VLOOKUP(A400,ITaC!$A$11:$D$12,2,FALSE),0)/1000</f>
        <v>1621488.31195</v>
      </c>
      <c r="D400" s="401">
        <f>SUMIFS(Data!$T$30:$T$42,Data!$S$30:$S$42,MarketProfile!A400,Data!$X$30:$X$42,"0")/1000</f>
        <v>3329410.9353</v>
      </c>
      <c r="E400" s="401"/>
      <c r="F400" s="286">
        <f t="shared" ref="F400:F404" si="32">IFERROR(IF(OR(AND(D400="",C400=""),AND(D400=0,C400=0)),"",
IF(OR(D400="",D400=0),1,
IF(OR(D400&lt;&gt;"",D400&lt;&gt;0),(C400-D400)/ABS(D400)))),-1)</f>
        <v>-0.51298042102336816</v>
      </c>
      <c r="G400" s="401">
        <f>SUMIFS(Data!$T$63:$T$78,Data!$S$63:$S$78,MarketProfile!A400,Data!$X$63:$X$78,"0")/1000</f>
        <v>3174481.1256200001</v>
      </c>
      <c r="H400" s="401"/>
      <c r="I400" s="286">
        <f t="shared" ref="I400:I404" si="33">IFERROR(IF(OR(AND(G400="",C400=""),AND(G400=0,C400=0)),"",
IF(OR(G400="",G400=0),1,
IF(OR(G400&lt;&gt;"",G400&lt;&gt;0),(C400-G400)/ABS(G400)))),-1)</f>
        <v>-0.48921154425408303</v>
      </c>
    </row>
    <row r="401" spans="1:9" ht="14.25" x14ac:dyDescent="0.2">
      <c r="A401" s="248" t="s">
        <v>447</v>
      </c>
      <c r="B401" s="364"/>
      <c r="C401" s="249">
        <f>SUMIFS(Data!$T$2:$T$15,Data!$S$2:$S$15,MarketProfile!A401,Data!$X$2:$X$15,"0")/1000+IFERROR(VLOOKUP(A401,ITaC!$A$11:$D$12,2,FALSE),0)/1000</f>
        <v>20874460.82587</v>
      </c>
      <c r="D401" s="401">
        <f>SUMIFS(Data!$T$30:$T$42,Data!$S$30:$S$42,MarketProfile!A401,Data!$X$30:$X$42,"0")/1000</f>
        <v>807485.17171000002</v>
      </c>
      <c r="E401" s="401"/>
      <c r="F401" s="286">
        <f t="shared" si="32"/>
        <v>24.851200191905008</v>
      </c>
      <c r="G401" s="401">
        <f>SUMIFS(Data!$T$63:$T$78,Data!$S$63:$S$78,MarketProfile!A401,Data!$X$63:$X$78,"0")/1000</f>
        <v>391778.63764999999</v>
      </c>
      <c r="H401" s="401"/>
      <c r="I401" s="286">
        <f t="shared" si="33"/>
        <v>52.281263498900728</v>
      </c>
    </row>
    <row r="402" spans="1:9" ht="14.25" x14ac:dyDescent="0.2">
      <c r="A402" s="248" t="s">
        <v>451</v>
      </c>
      <c r="B402" s="364"/>
      <c r="C402" s="249">
        <f>SUMIFS(Data!$T$2:$T$15,Data!$S$2:$S$15,MarketProfile!A402,Data!$X$2:$X$15,"0")/1000</f>
        <v>62479.11118</v>
      </c>
      <c r="D402" s="401">
        <f>SUMIFS(Data!$T$30:$T$42,Data!$S$30:$S$42,MarketProfile!A402,Data!$X$30:$X$42,"0")/1000</f>
        <v>102617.2549</v>
      </c>
      <c r="E402" s="401"/>
      <c r="F402" s="286">
        <f t="shared" si="32"/>
        <v>-0.39114419654973637</v>
      </c>
      <c r="G402" s="401">
        <f>SUMIFS(Data!$T$63:$T$78,Data!$S$63:$S$78,MarketProfile!A402,Data!$X$63:$X$78,"0")/1000</f>
        <v>45124.781539999996</v>
      </c>
      <c r="H402" s="401"/>
      <c r="I402" s="286">
        <f t="shared" si="33"/>
        <v>0.38458534418868245</v>
      </c>
    </row>
    <row r="403" spans="1:9" ht="14.25" x14ac:dyDescent="0.2">
      <c r="A403" s="248" t="s">
        <v>448</v>
      </c>
      <c r="B403" s="364"/>
      <c r="C403" s="249">
        <f>SUMIFS(Data!$T$2:$T$15,Data!$S$2:$S$15,MarketProfile!A403,Data!$X$2:$X$15,"0")/1000</f>
        <v>0</v>
      </c>
      <c r="D403" s="401">
        <f>SUMIFS(Data!$T$30:$T$42,Data!$S$30:$S$42,MarketProfile!A403,Data!$X$30:$X$42,"0")/1000</f>
        <v>0</v>
      </c>
      <c r="E403" s="401"/>
      <c r="F403" s="286" t="str">
        <f t="shared" si="32"/>
        <v/>
      </c>
      <c r="G403" s="401">
        <f>SUMIFS(Data!$T$63:$T$78,Data!$S$63:$S$78,MarketProfile!A403,Data!$X$63:$X$78,"0")/1000</f>
        <v>0</v>
      </c>
      <c r="H403" s="401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22558428.248999998</v>
      </c>
      <c r="D404" s="402">
        <f>SUM(D400:E403)</f>
        <v>4239513.3619099995</v>
      </c>
      <c r="E404" s="402">
        <f>SUM(E400:E403)</f>
        <v>0</v>
      </c>
      <c r="F404" s="324">
        <f t="shared" si="32"/>
        <v>4.3209947282338321</v>
      </c>
      <c r="G404" s="402">
        <f>SUM(G400:H403)</f>
        <v>3611384.5448099999</v>
      </c>
      <c r="H404" s="402">
        <v>1436842</v>
      </c>
      <c r="I404" s="324">
        <f t="shared" si="33"/>
        <v>5.2464763774379026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0" t="s">
        <v>144</v>
      </c>
      <c r="B406" s="330"/>
      <c r="C406" s="330"/>
      <c r="D406" s="330"/>
      <c r="E406" s="330"/>
      <c r="F406" s="338"/>
      <c r="G406" s="330"/>
      <c r="H406" s="330"/>
      <c r="I406" s="338"/>
    </row>
    <row r="407" spans="1:9" ht="14.25" x14ac:dyDescent="0.2">
      <c r="A407" s="337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VLOOKUP(A408,ITaC!$F$3:$G$9,2,FALSE)</f>
        <v>601624</v>
      </c>
      <c r="D408" s="401">
        <f>SUMIFS(Data!$W$34:$W$47,Data!$S$34:$S$47,MarketProfile!A408,Data!$X$34:$X$47,"1")</f>
        <v>573232</v>
      </c>
      <c r="E408" s="401"/>
      <c r="F408" s="286">
        <f t="shared" ref="F408:F414" si="34">IFERROR(IF(OR(AND(D408="",C408=""),AND(D408=0,C408=0)),"",
IF(OR(D408="",D408=0),1,
IF(OR(D408&lt;&gt;"",D408&lt;&gt;0),(C408-D408)/ABS(D408)))),-1)</f>
        <v>4.9529684316297763E-2</v>
      </c>
      <c r="G408" s="401">
        <f>SUMIFS(Data!$W$81:$W$93,Data!$S$81:$S$93,MarketProfile!A408,Data!$X$81:$X$93,"1")</f>
        <v>562733</v>
      </c>
      <c r="H408" s="401"/>
      <c r="I408" s="286">
        <f t="shared" ref="I408:I414" si="35">IFERROR(IF(OR(AND(G408="",C408=""),AND(G408=0,C408=0)),"",
IF(OR(G408="",G408=0),1,
IF(OR(G408&lt;&gt;"",G408&lt;&gt;0),(C408-G408)/ABS(G408)))),-1)</f>
        <v>6.9110928273266356E-2</v>
      </c>
    </row>
    <row r="409" spans="1:9" ht="14.25" x14ac:dyDescent="0.2">
      <c r="A409" s="248" t="s">
        <v>447</v>
      </c>
      <c r="B409" s="127"/>
      <c r="C409" s="127">
        <f>VLOOKUP(A409,ITaC!$F$3:$G$9,2,FALSE)</f>
        <v>1161538</v>
      </c>
      <c r="D409" s="401">
        <f>SUMIFS(Data!$W$34:$W$47,Data!$S$34:$S$47,MarketProfile!A409,Data!$X$34:$X$47,"1")</f>
        <v>1122881</v>
      </c>
      <c r="E409" s="401"/>
      <c r="F409" s="286">
        <f t="shared" si="34"/>
        <v>3.4426622233344403E-2</v>
      </c>
      <c r="G409" s="401">
        <f>SUMIFS(Data!$W$81:$W$93,Data!$S$81:$S$93,MarketProfile!A409,Data!$X$81:$X$93,"1")</f>
        <v>0</v>
      </c>
      <c r="H409" s="401"/>
      <c r="I409" s="286">
        <f t="shared" si="35"/>
        <v>1</v>
      </c>
    </row>
    <row r="410" spans="1:9" ht="14.25" x14ac:dyDescent="0.2">
      <c r="A410" s="248" t="s">
        <v>448</v>
      </c>
      <c r="B410" s="127"/>
      <c r="C410" s="127">
        <f>VLOOKUP(A410,ITaC!$F$3:$G$9,2,FALSE)</f>
        <v>760367</v>
      </c>
      <c r="D410" s="401">
        <f>SUMIFS(Data!$W$34:$W$47,Data!$S$34:$S$47,MarketProfile!A410,Data!$X$34:$X$47,"1")</f>
        <v>748973</v>
      </c>
      <c r="E410" s="401"/>
      <c r="F410" s="286">
        <f t="shared" si="34"/>
        <v>1.5212831437181313E-2</v>
      </c>
      <c r="G410" s="401">
        <f>SUMIFS(Data!$W$81:$W$93,Data!$S$81:$S$93,MarketProfile!A410,Data!$X$81:$X$93,"1")</f>
        <v>547622</v>
      </c>
      <c r="H410" s="401"/>
      <c r="I410" s="286">
        <f t="shared" si="35"/>
        <v>0.3884887751039951</v>
      </c>
    </row>
    <row r="411" spans="1:9" ht="14.25" x14ac:dyDescent="0.2">
      <c r="A411" s="248" t="s">
        <v>182</v>
      </c>
      <c r="B411" s="127"/>
      <c r="C411" s="127">
        <f>VLOOKUP(A411,ITaC!$F$3:$G$9,2,FALSE)</f>
        <v>1434622</v>
      </c>
      <c r="D411" s="401">
        <f>SUMIFS(Data!$W$34:$W$47,Data!$S$34:$S$47,MarketProfile!A411,Data!$X$34:$X$47,"1")</f>
        <v>1256352</v>
      </c>
      <c r="E411" s="401"/>
      <c r="F411" s="286">
        <f t="shared" si="34"/>
        <v>0.14189494663915844</v>
      </c>
      <c r="G411" s="401">
        <f>SUMIFS(Data!$W$81:$W$93,Data!$S$81:$S$93,MarketProfile!A411,Data!$X$81:$X$93,"1")</f>
        <v>567276</v>
      </c>
      <c r="H411" s="401"/>
      <c r="I411" s="286">
        <f t="shared" si="35"/>
        <v>1.5289664995522463</v>
      </c>
    </row>
    <row r="412" spans="1:9" ht="14.25" x14ac:dyDescent="0.2">
      <c r="A412" s="248" t="s">
        <v>449</v>
      </c>
      <c r="B412" s="127"/>
      <c r="C412" s="127">
        <f>VLOOKUP(A412,ITaC!$F$3:$G$9,2,FALSE)</f>
        <v>203993</v>
      </c>
      <c r="D412" s="401">
        <f>SUMIFS(Data!$W$34:$W$47,Data!$S$34:$S$47,MarketProfile!A412,Data!$X$34:$X$47,"1")</f>
        <v>1730815</v>
      </c>
      <c r="E412" s="401"/>
      <c r="F412" s="286">
        <f t="shared" si="34"/>
        <v>-0.882140494506923</v>
      </c>
      <c r="G412" s="401">
        <f>SUMIFS(Data!$W$81:$W$93,Data!$S$81:$S$93,MarketProfile!A412,Data!$X$81:$X$93,"1")</f>
        <v>3019362</v>
      </c>
      <c r="H412" s="401"/>
      <c r="I412" s="286">
        <f t="shared" si="35"/>
        <v>-0.93243837605427904</v>
      </c>
    </row>
    <row r="413" spans="1:9" ht="14.25" x14ac:dyDescent="0.2">
      <c r="A413" s="248" t="s">
        <v>450</v>
      </c>
      <c r="B413" s="127"/>
      <c r="C413" s="127">
        <f>VLOOKUP(A413,ITaC!$F$3:$G$9,2,FALSE)</f>
        <v>1284645</v>
      </c>
      <c r="D413" s="401">
        <f>SUMIFS(Data!$W$34:$W$47,Data!$S$34:$S$47,MarketProfile!A413,Data!$X$34:$X$47,"1")</f>
        <v>1527608</v>
      </c>
      <c r="E413" s="401"/>
      <c r="F413" s="286">
        <f t="shared" si="34"/>
        <v>-0.15904800184340484</v>
      </c>
      <c r="G413" s="401">
        <f>SUMIFS(Data!$W$81:$W$93,Data!$S$81:$S$93,MarketProfile!A413,Data!$X$81:$X$93,"1")</f>
        <v>2782263</v>
      </c>
      <c r="H413" s="401"/>
      <c r="I413" s="286">
        <f t="shared" si="35"/>
        <v>-0.53827334080207367</v>
      </c>
    </row>
    <row r="414" spans="1:9" ht="14.25" x14ac:dyDescent="0.2">
      <c r="A414" s="248" t="s">
        <v>451</v>
      </c>
      <c r="B414" s="127"/>
      <c r="C414" s="127">
        <f>VLOOKUP(A414,ITaC!$F$3:$G$9,2,FALSE)</f>
        <v>323094</v>
      </c>
      <c r="D414" s="401">
        <f>SUMIFS(Data!$W$34:$W$47,Data!$S$34:$S$47,MarketProfile!A414,Data!$X$34:$X$47,"1")</f>
        <v>279783</v>
      </c>
      <c r="E414" s="401"/>
      <c r="F414" s="286">
        <f t="shared" si="34"/>
        <v>0.15480211449587716</v>
      </c>
      <c r="G414" s="401">
        <f>SUMIFS(Data!$W$81:$W$93,Data!$S$81:$S$93,MarketProfile!A414,Data!$X$81:$X$93,"1")</f>
        <v>409508</v>
      </c>
      <c r="H414" s="401"/>
      <c r="I414" s="286">
        <f t="shared" si="35"/>
        <v>-0.21101907655039706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7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VLOOKUP(A417,ITaC!$F$12:$G$14,2,FALSE)</f>
        <v>1204559</v>
      </c>
      <c r="D417" s="401">
        <f>SUMIFS(Data!$W$34:$W$47,Data!$S$34:$S$47,MarketProfile!A417,Data!$X$34:$X$47,"0")</f>
        <v>932372</v>
      </c>
      <c r="E417" s="401"/>
      <c r="F417" s="286">
        <f t="shared" ref="F417:F419" si="36">IFERROR(IF(OR(AND(D417="",C417=""),AND(D417=0,C417=0)),"",
IF(OR(D417="",D417=0),1,
IF(OR(D417&lt;&gt;"",D417&lt;&gt;0),(C417-D417)/ABS(D417)))),-1)</f>
        <v>0.29192961607598683</v>
      </c>
      <c r="G417" s="401">
        <f>SUMIFS(Data!$W$81:$W$93,Data!$S$81:$S$93,MarketProfile!A417,Data!$X$81:$X$93,"0")</f>
        <v>854378</v>
      </c>
      <c r="H417" s="401"/>
      <c r="I417" s="286">
        <f t="shared" ref="I417:I419" si="37">IFERROR(IF(OR(AND(G417="",C417=""),AND(G417=0,C417=0)),"",
IF(OR(G417="",G417=0),1,
IF(OR(G417&lt;&gt;"",G417&lt;&gt;0),(C417-G417)/ABS(G417)))),-1)</f>
        <v>0.40986659300684242</v>
      </c>
    </row>
    <row r="418" spans="1:12" ht="14.25" x14ac:dyDescent="0.2">
      <c r="A418" s="248" t="s">
        <v>447</v>
      </c>
      <c r="B418" s="127"/>
      <c r="C418" s="127">
        <f>VLOOKUP(A418,ITaC!$F$12:$G$14,2,FALSE)</f>
        <v>1456703</v>
      </c>
      <c r="D418" s="401">
        <f>SUMIFS(Data!$W$34:$W$47,Data!$S$34:$S$47,MarketProfile!A418,Data!$X$34:$X$47,"0")</f>
        <v>1336056</v>
      </c>
      <c r="E418" s="401"/>
      <c r="F418" s="286">
        <f t="shared" si="36"/>
        <v>9.030085565275707E-2</v>
      </c>
      <c r="G418" s="401">
        <f>SUMIFS(Data!$W$75:$W$87,Data!$S$75:$S$87,MarketProfile!A418,Data!$X$75:$X$87,"0")</f>
        <v>1060670</v>
      </c>
      <c r="H418" s="401"/>
      <c r="I418" s="286">
        <f t="shared" si="37"/>
        <v>0.37338003337513082</v>
      </c>
    </row>
    <row r="419" spans="1:12" ht="14.25" x14ac:dyDescent="0.2">
      <c r="A419" s="248" t="s">
        <v>451</v>
      </c>
      <c r="B419" s="127"/>
      <c r="C419" s="127">
        <f>VLOOKUP(A419,ITaC!$F$12:$G$14,2,FALSE)</f>
        <v>387504</v>
      </c>
      <c r="D419" s="401">
        <f>SUMIFS(Data!$W$34:$W$47,Data!$S$34:$S$47,MarketProfile!A419,Data!$X$34:$X$47,"0")</f>
        <v>564314</v>
      </c>
      <c r="E419" s="401"/>
      <c r="F419" s="286">
        <f t="shared" si="36"/>
        <v>-0.31331847163104232</v>
      </c>
      <c r="G419" s="401">
        <f>SUMIFS(Data!$W$75:$W$87,Data!$S$75:$S$87,MarketProfile!A419,Data!$X$75:$X$87,"0")</f>
        <v>189023</v>
      </c>
      <c r="H419" s="401"/>
      <c r="I419" s="286">
        <f t="shared" si="37"/>
        <v>1.0500362389762092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412" t="str">
        <f>"Market Profile - "&amp; TEXT($H$3,"MMM")&amp;" "&amp;TEXT($H$3,"YYYY")</f>
        <v>Market Profile - Apr 2019</v>
      </c>
      <c r="B429" s="248"/>
      <c r="C429" s="248"/>
      <c r="D429" s="248"/>
      <c r="E429" s="416" t="s">
        <v>205</v>
      </c>
      <c r="F429" s="416"/>
      <c r="G429" s="416"/>
      <c r="H429" s="416"/>
      <c r="I429" s="416"/>
    </row>
    <row r="430" spans="1:12" ht="10.5" customHeight="1" thickBot="1" x14ac:dyDescent="0.25">
      <c r="A430" s="413"/>
      <c r="B430" s="278"/>
      <c r="C430" s="278"/>
      <c r="D430" s="278"/>
      <c r="E430" s="417"/>
      <c r="F430" s="417"/>
      <c r="G430" s="417"/>
      <c r="H430" s="417"/>
      <c r="I430" s="417"/>
    </row>
    <row r="431" spans="1:12" ht="38.25" customHeight="1" thickBot="1" x14ac:dyDescent="0.3">
      <c r="A431" s="328"/>
      <c r="B431" s="328"/>
      <c r="C431" s="339" t="str">
        <f>TEXT($H$3,"MMM")&amp;" "&amp;TEXT($H$3,"YYYY")</f>
        <v>Apr 2019</v>
      </c>
      <c r="D431" s="328"/>
      <c r="E431" s="339" t="str">
        <f>TEXT(DATE(2000,TEXT(H3,"M")-1,1),"mmm")&amp; " "&amp; TEXT(H3,"YYYY")</f>
        <v>Mar 2019</v>
      </c>
      <c r="F431" s="180" t="s">
        <v>193</v>
      </c>
      <c r="G431" s="328"/>
      <c r="H431" s="340" t="str">
        <f>TEXT($H$3,"MMM")&amp;" "&amp;TEXT($H$3,"YYYY")-1</f>
        <v>Apr 2018</v>
      </c>
      <c r="I431" s="340" t="s">
        <v>194</v>
      </c>
    </row>
    <row r="432" spans="1:12" ht="15" x14ac:dyDescent="0.25">
      <c r="A432" s="330" t="s">
        <v>117</v>
      </c>
      <c r="B432" s="330"/>
      <c r="C432" s="330"/>
      <c r="D432" s="330"/>
      <c r="E432" s="330"/>
      <c r="F432" s="330"/>
      <c r="G432" s="330"/>
      <c r="H432" s="330"/>
      <c r="I432" s="341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949</v>
      </c>
      <c r="D434" s="399">
        <f>SUMIFS(Data!$AQ:$AQ,Data!$AN:$AN,MarketProfile!A434,Data!$AS:$AS,"1")</f>
        <v>630</v>
      </c>
      <c r="E434" s="399"/>
      <c r="F434" s="179">
        <f>IFERROR(IF(OR(AND(D434="",C434=""),AND(D434=0,C434=0)),"",
IF(OR(D434="",D434=0),1,
IF(OR(D434&lt;&gt;"",D434&lt;&gt;0),(C434-D434)/ABS(D434)))),-1)</f>
        <v>0.50634920634920633</v>
      </c>
      <c r="G434" s="399">
        <f>SUMIFS(Data!$BE:$BE,Data!$BB:$BB,MarketProfile!A434,Data!BG:BG,"1")</f>
        <v>694</v>
      </c>
      <c r="H434" s="399"/>
      <c r="I434" s="179">
        <f t="shared" ref="I434:I441" si="38">IFERROR(IF(OR(AND(G434="",C434=""),AND(G434=0,C434=0)),"",
IF(OR(G434="",G434=0),1,
IF(OR(G434&lt;&gt;"",G434&lt;&gt;0),(C434-G434)/ABS(G434)))),-1)</f>
        <v>0.36743515850144093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2887</v>
      </c>
      <c r="D435" s="399">
        <f>SUMIFS(Data!$AQ:$AQ,Data!$AN:$AN,MarketProfile!A435,Data!$AS:$AS,"1")</f>
        <v>1991</v>
      </c>
      <c r="E435" s="399"/>
      <c r="F435" s="179">
        <f t="shared" ref="F435:F442" si="39">IFERROR(IF(OR(AND(D435="",C435=""),AND(D435=0,C435=0)),"",
IF(OR(D435="",D435=0),1,
IF(OR(D435&lt;&gt;"",D435&lt;&gt;0),(C435-D435)/ABS(D435)))),-1)</f>
        <v>0.45002511300853842</v>
      </c>
      <c r="G435" s="399">
        <f>SUMIFS(Data!$BE:$BE,Data!$BB:$BB,MarketProfile!A435,Data!BG:BG,"1")</f>
        <v>3398</v>
      </c>
      <c r="H435" s="399"/>
      <c r="I435" s="179">
        <f t="shared" si="38"/>
        <v>-0.15038257798705121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8340</v>
      </c>
      <c r="D436" s="399">
        <f>SUMIFS(Data!$AQ:$AQ,Data!$AN:$AN,MarketProfile!A436,Data!$AS:$AS,"1")</f>
        <v>5915</v>
      </c>
      <c r="E436" s="399"/>
      <c r="F436" s="179">
        <f t="shared" si="39"/>
        <v>0.40997464074387152</v>
      </c>
      <c r="G436" s="399">
        <f>SUMIFS(Data!$BE:$BE,Data!$BB:$BB,MarketProfile!A436,Data!BG:BG,"1")</f>
        <v>6570</v>
      </c>
      <c r="H436" s="399"/>
      <c r="I436" s="179">
        <f t="shared" si="38"/>
        <v>0.26940639269406391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11</v>
      </c>
      <c r="D437" s="399">
        <f>SUMIFS(Data!$AQ:$AQ,Data!$AN:$AN,MarketProfile!A437,Data!$AS:$AS,"1")</f>
        <v>36</v>
      </c>
      <c r="E437" s="399"/>
      <c r="F437" s="179">
        <f t="shared" si="39"/>
        <v>-0.69444444444444442</v>
      </c>
      <c r="G437" s="399">
        <f>SUMIFS(Data!$BE:$BE,Data!$BB:$BB,MarketProfile!A437,Data!BG:BG,"1")</f>
        <v>22</v>
      </c>
      <c r="H437" s="399"/>
      <c r="I437" s="179">
        <f t="shared" si="38"/>
        <v>-0.5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2823</v>
      </c>
      <c r="D438" s="399">
        <f>SUMIFS(Data!$AQ:$AQ,Data!$AN:$AN,MarketProfile!A438,Data!$AS:$AS,"1")</f>
        <v>1573</v>
      </c>
      <c r="E438" s="399"/>
      <c r="F438" s="179">
        <f t="shared" si="39"/>
        <v>0.79465988556897649</v>
      </c>
      <c r="G438" s="399">
        <f>SUMIFS(Data!$BE:$BE,Data!$BB:$BB,MarketProfile!A438,Data!BG:BG,"1")</f>
        <v>2417</v>
      </c>
      <c r="H438" s="399"/>
      <c r="I438" s="179">
        <f t="shared" si="38"/>
        <v>0.1679768307819611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10456</v>
      </c>
      <c r="D439" s="399">
        <f>SUMIFS(Data!$AQ:$AQ,Data!$AN:$AN,MarketProfile!A439,Data!$AS:$AS,"1")</f>
        <v>10611</v>
      </c>
      <c r="E439" s="399"/>
      <c r="F439" s="179">
        <f t="shared" si="39"/>
        <v>-1.4607482800867025E-2</v>
      </c>
      <c r="G439" s="399">
        <f>SUMIFS(Data!$BE:$BE,Data!$BB:$BB,MarketProfile!A439,Data!BG:BG,"1")</f>
        <v>9833</v>
      </c>
      <c r="H439" s="399"/>
      <c r="I439" s="179">
        <f t="shared" si="38"/>
        <v>6.3358079934913047E-2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1</v>
      </c>
      <c r="D440" s="399">
        <f>SUMIFS(Data!$AQ:$AQ,Data!$AN:$AN,MarketProfile!A440,Data!$AS:$AS,"1")</f>
        <v>29</v>
      </c>
      <c r="E440" s="399"/>
      <c r="F440" s="179">
        <f t="shared" si="39"/>
        <v>-0.96551724137931039</v>
      </c>
      <c r="G440" s="399">
        <f>SUMIFS(Data!$BE:$BE,Data!$BB:$BB,MarketProfile!A440,Data!BG:BG,"1")</f>
        <v>9</v>
      </c>
      <c r="H440" s="399"/>
      <c r="I440" s="179">
        <f t="shared" si="38"/>
        <v>-0.88888888888888884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19</v>
      </c>
      <c r="D441" s="399">
        <f>SUMIFS(Data!$AQ:$AQ,Data!$AN:$AN,MarketProfile!A441,Data!$AS:$AS,"1")</f>
        <v>1</v>
      </c>
      <c r="E441" s="399"/>
      <c r="F441" s="179">
        <f t="shared" si="39"/>
        <v>18</v>
      </c>
      <c r="G441" s="399">
        <f>SUMIFS(Data!$BE:$BE,Data!$BB:$BB,MarketProfile!A441,Data!BG:BG,"1")</f>
        <v>10</v>
      </c>
      <c r="H441" s="399"/>
      <c r="I441" s="179">
        <f t="shared" si="38"/>
        <v>0.9</v>
      </c>
      <c r="J441" s="158"/>
    </row>
    <row r="442" spans="1:10" x14ac:dyDescent="0.2">
      <c r="A442" s="246" t="s">
        <v>187</v>
      </c>
      <c r="B442" s="247"/>
      <c r="C442" s="4">
        <f>SUM(C434:C441)</f>
        <v>25486</v>
      </c>
      <c r="D442" s="400">
        <f>SUM(D434:E441)</f>
        <v>20786</v>
      </c>
      <c r="E442" s="400">
        <f>SUM(E434:E441)</f>
        <v>0</v>
      </c>
      <c r="F442" s="166">
        <f t="shared" si="39"/>
        <v>0.22611373039545848</v>
      </c>
      <c r="G442" s="400">
        <f>SUM(G434:H441)</f>
        <v>22953</v>
      </c>
      <c r="H442" s="400">
        <f>SUM(H434:H441)</f>
        <v>0</v>
      </c>
      <c r="I442" s="166">
        <f>IFERROR(IF(OR(AND(G442="",C442=""),AND(G442=0,C442=0)),"",
IF(OR(G442="",G442=0),1,
IF(OR(G442&lt;&gt;"",G442&lt;&gt;0),(C442-G442)/ABS(G442)))),-1)</f>
        <v>0.11035594475667669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3</v>
      </c>
      <c r="D444" s="399">
        <f>SUMIFS(Data!$AQ:$AQ,Data!$AN:$AN,MarketProfile!A444,Data!$AS:$AS,"0")</f>
        <v>2</v>
      </c>
      <c r="E444" s="399"/>
      <c r="F444" s="179">
        <f t="shared" ref="F444:F452" si="40">IFERROR(IF(OR(AND(D444="",C444=""),AND(D444=0,C444=0)),"",
IF(OR(D444="",D444=0),1,
IF(OR(D444&lt;&gt;"",D444&lt;&gt;0),(C444-D444)/ABS(D444)))),-1)</f>
        <v>0.5</v>
      </c>
      <c r="G444" s="399">
        <f>SUMIFS(Data!$BE:$BE,Data!$BB:$BB,MarketProfile!A444,Data!BG:BG,"0")</f>
        <v>0</v>
      </c>
      <c r="H444" s="399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23</v>
      </c>
      <c r="D445" s="399">
        <f>SUMIFS(Data!$AQ:$AQ,Data!$AN:$AN,MarketProfile!A445,Data!$AS:$AS,"0")</f>
        <v>137</v>
      </c>
      <c r="E445" s="399"/>
      <c r="F445" s="179">
        <f t="shared" si="40"/>
        <v>-0.83211678832116787</v>
      </c>
      <c r="G445" s="399">
        <f>SUMIFS(Data!$BE:$BE,Data!$BB:$BB,MarketProfile!A445,Data!BG:BG,"0")</f>
        <v>112</v>
      </c>
      <c r="H445" s="399"/>
      <c r="I445" s="179">
        <f t="shared" si="41"/>
        <v>-0.7946428571428571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489</v>
      </c>
      <c r="D446" s="399">
        <f>SUMIFS(Data!$AQ:$AQ,Data!$AN:$AN,MarketProfile!A446,Data!$AS:$AS,"0")</f>
        <v>417</v>
      </c>
      <c r="E446" s="399"/>
      <c r="F446" s="179">
        <f t="shared" si="40"/>
        <v>0.17266187050359713</v>
      </c>
      <c r="G446" s="399">
        <f>SUMIFS(Data!$BE:$BE,Data!$BB:$BB,MarketProfile!A446,Data!BG:BG,"0")</f>
        <v>318</v>
      </c>
      <c r="H446" s="399"/>
      <c r="I446" s="179">
        <f t="shared" si="41"/>
        <v>0.53773584905660377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99">
        <f>SUMIFS(Data!$AQ:$AQ,Data!$AN:$AN,MarketProfile!A447,Data!$AS:$AS,"0")</f>
        <v>0</v>
      </c>
      <c r="E447" s="399"/>
      <c r="F447" s="179" t="str">
        <f t="shared" si="40"/>
        <v/>
      </c>
      <c r="G447" s="399">
        <f>SUMIFS(Data!$BE:$BE,Data!$BB:$BB,MarketProfile!A447,Data!BG:BG,"0")</f>
        <v>0</v>
      </c>
      <c r="H447" s="399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8</v>
      </c>
      <c r="D448" s="399">
        <f>SUMIFS(Data!$AQ:$AQ,Data!$AN:$AN,MarketProfile!A448,Data!$AS:$AS,"0")</f>
        <v>23</v>
      </c>
      <c r="E448" s="399"/>
      <c r="F448" s="179">
        <f t="shared" si="40"/>
        <v>-0.65217391304347827</v>
      </c>
      <c r="G448" s="399">
        <f>SUMIFS(Data!$BE:$BE,Data!$BB:$BB,MarketProfile!A448,Data!BG:BG,"0")</f>
        <v>88</v>
      </c>
      <c r="H448" s="399"/>
      <c r="I448" s="179">
        <f t="shared" si="41"/>
        <v>-0.90909090909090906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1258</v>
      </c>
      <c r="D449" s="399">
        <f>SUMIFS(Data!$AQ:$AQ,Data!$AN:$AN,MarketProfile!A449,Data!$AS:$AS,"0")</f>
        <v>1537</v>
      </c>
      <c r="E449" s="399"/>
      <c r="F449" s="179">
        <f t="shared" si="40"/>
        <v>-0.1815224463240078</v>
      </c>
      <c r="G449" s="399">
        <f>SUMIFS(Data!$BE:$BE,Data!$BB:$BB,MarketProfile!A449,Data!BG:BG,"0")</f>
        <v>1169</v>
      </c>
      <c r="H449" s="399"/>
      <c r="I449" s="179">
        <f t="shared" si="41"/>
        <v>7.6133447390932418E-2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99">
        <f>SUMIFS(Data!$AQ:$AQ,Data!$AN:$AN,MarketProfile!A450,Data!$AS:$AS,"0")</f>
        <v>1</v>
      </c>
      <c r="E450" s="399"/>
      <c r="F450" s="179">
        <f t="shared" si="40"/>
        <v>-1</v>
      </c>
      <c r="G450" s="399">
        <f>SUMIFS(Data!$BE:$BE,Data!$BB:$BB,MarketProfile!A450,Data!BG:BG,"0")</f>
        <v>0</v>
      </c>
      <c r="H450" s="399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99">
        <f>SUMIFS(Data!$AQ:$AQ,Data!$AN:$AN,MarketProfile!A451,Data!$AS:$AS,"0")</f>
        <v>0</v>
      </c>
      <c r="E451" s="399"/>
      <c r="F451" s="179" t="str">
        <f t="shared" si="40"/>
        <v/>
      </c>
      <c r="G451" s="399">
        <f>SUMIFS(Data!$BE:$BE,Data!$BB:$BB,MarketProfile!A451,Data!BG:BG,"0")</f>
        <v>0</v>
      </c>
      <c r="H451" s="399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1781</v>
      </c>
      <c r="D452" s="400">
        <f>SUM(D444:E451)</f>
        <v>2117</v>
      </c>
      <c r="E452" s="400">
        <f>SUM(E444:E451)</f>
        <v>0</v>
      </c>
      <c r="F452" s="166">
        <f t="shared" si="40"/>
        <v>-0.15871516296646199</v>
      </c>
      <c r="G452" s="400">
        <f>SUM(G444:H451)</f>
        <v>1687</v>
      </c>
      <c r="H452" s="400">
        <f>SUM(H444:H451)</f>
        <v>0</v>
      </c>
      <c r="I452" s="166">
        <f t="shared" si="41"/>
        <v>5.5720213396561948E-2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14632</v>
      </c>
      <c r="D455" s="399">
        <f>SUMIFS(Data!$AP:$AP,Data!$AN:$AN,MarketProfile!A455,Data!$AS:$AS,"1")</f>
        <v>11137</v>
      </c>
      <c r="E455" s="399"/>
      <c r="F455" s="179">
        <f t="shared" ref="F455:F463" si="42">IFERROR(IF(OR(AND(D455="",C455=""),AND(D455=0,C455=0)),"",
IF(OR(D455="",D455=0),1,
IF(OR(D455&lt;&gt;"",D455&lt;&gt;0),(C455-D455)/ABS(D455)))),-1)</f>
        <v>0.3138188021908952</v>
      </c>
      <c r="G455" s="399">
        <f>SUMIFS(Data!$BD:$BD,Data!$BB:$BB,MarketProfile!A455,Data!BG:BG,"1")</f>
        <v>10259</v>
      </c>
      <c r="H455" s="399"/>
      <c r="I455" s="179">
        <f t="shared" ref="I455:I463" si="43">IFERROR(IF(OR(AND(G455="",C455=""),AND(G455=0,C455=0)),"",
IF(OR(G455="",G455=0),1,
IF(OR(G455&lt;&gt;"",G455&lt;&gt;0),(C455-G455)/ABS(G455)))),-1)</f>
        <v>0.42625986938298077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47246</v>
      </c>
      <c r="D456" s="399">
        <f>SUMIFS(Data!$AP:$AP,Data!$AN:$AN,MarketProfile!A456,Data!$AS:$AS,"1")</f>
        <v>29583</v>
      </c>
      <c r="E456" s="399"/>
      <c r="F456" s="179">
        <f t="shared" si="42"/>
        <v>0.59706588243247816</v>
      </c>
      <c r="G456" s="399">
        <f>SUMIFS(Data!$BD:$BD,Data!$BB:$BB,MarketProfile!A456,Data!BG:BG,"1")</f>
        <v>38819</v>
      </c>
      <c r="H456" s="399"/>
      <c r="I456" s="179">
        <f t="shared" si="43"/>
        <v>0.21708441742445708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42735</v>
      </c>
      <c r="D457" s="399">
        <f>SUMIFS(Data!$AP:$AP,Data!$AN:$AN,MarketProfile!A457,Data!$AS:$AS,"1")</f>
        <v>36257</v>
      </c>
      <c r="E457" s="399"/>
      <c r="F457" s="179">
        <f t="shared" si="42"/>
        <v>0.17866894668615715</v>
      </c>
      <c r="G457" s="399">
        <f>SUMIFS(Data!$BD:$BD,Data!$BB:$BB,MarketProfile!A457,Data!BG:BG,"1")</f>
        <v>36613</v>
      </c>
      <c r="H457" s="399"/>
      <c r="I457" s="179">
        <f t="shared" si="43"/>
        <v>0.16720836861224156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225</v>
      </c>
      <c r="D458" s="399">
        <f>SUMIFS(Data!$AP:$AP,Data!$AN:$AN,MarketProfile!A458,Data!$AS:$AS,"1")</f>
        <v>164</v>
      </c>
      <c r="E458" s="399"/>
      <c r="F458" s="179">
        <f t="shared" si="42"/>
        <v>0.37195121951219512</v>
      </c>
      <c r="G458" s="399">
        <f>SUMIFS(Data!$BD:$BD,Data!$BB:$BB,MarketProfile!A458,Data!BG:BG,"1")</f>
        <v>968</v>
      </c>
      <c r="H458" s="399"/>
      <c r="I458" s="179">
        <f t="shared" si="43"/>
        <v>-0.7675619834710744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11021</v>
      </c>
      <c r="D459" s="399">
        <f>SUMIFS(Data!$AP:$AP,Data!$AN:$AN,MarketProfile!A459,Data!$AS:$AS,"1")</f>
        <v>7476</v>
      </c>
      <c r="E459" s="399"/>
      <c r="F459" s="179">
        <f t="shared" si="42"/>
        <v>0.47418405564472982</v>
      </c>
      <c r="G459" s="399">
        <f>SUMIFS(Data!$BD:$BD,Data!$BB:$BB,MarketProfile!A459,Data!BG:BG,"1")</f>
        <v>25517</v>
      </c>
      <c r="H459" s="399"/>
      <c r="I459" s="179">
        <f t="shared" si="43"/>
        <v>-0.56809186032840853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63244</v>
      </c>
      <c r="D460" s="399">
        <f>SUMIFS(Data!$AP:$AP,Data!$AN:$AN,MarketProfile!A460,Data!$AS:$AS,"1")</f>
        <v>66378</v>
      </c>
      <c r="E460" s="399"/>
      <c r="F460" s="179">
        <f t="shared" si="42"/>
        <v>-4.7214438518786345E-2</v>
      </c>
      <c r="G460" s="399">
        <f>SUMIFS(Data!$BD:$BD,Data!$BB:$BB,MarketProfile!A460,Data!BG:BG,"1")</f>
        <v>53071</v>
      </c>
      <c r="H460" s="399"/>
      <c r="I460" s="179">
        <f t="shared" si="43"/>
        <v>0.19168660850558686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7</v>
      </c>
      <c r="D461" s="399">
        <f>SUMIFS(Data!$AP:$AP,Data!$AN:$AN,MarketProfile!A461,Data!$AS:$AS,"1")</f>
        <v>262</v>
      </c>
      <c r="E461" s="399"/>
      <c r="F461" s="179">
        <f t="shared" si="42"/>
        <v>-0.97328244274809161</v>
      </c>
      <c r="G461" s="399">
        <f>SUMIFS(Data!$BD:$BD,Data!$BB:$BB,MarketProfile!A461,Data!BG:BG,"1")</f>
        <v>9</v>
      </c>
      <c r="H461" s="399"/>
      <c r="I461" s="179">
        <f t="shared" si="43"/>
        <v>-0.22222222222222221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201</v>
      </c>
      <c r="D462" s="399">
        <f>SUMIFS(Data!$AP:$AP,Data!$AN:$AN,MarketProfile!A462,Data!$AS:$AS,"1")</f>
        <v>8</v>
      </c>
      <c r="E462" s="399"/>
      <c r="F462" s="179">
        <f t="shared" si="42"/>
        <v>24.125</v>
      </c>
      <c r="G462" s="399">
        <f>SUMIFS(Data!$BD:$BD,Data!$BB:$BB,MarketProfile!A462,Data!BG:BG,"1")</f>
        <v>530</v>
      </c>
      <c r="H462" s="399"/>
      <c r="I462" s="179">
        <f t="shared" si="43"/>
        <v>-0.62075471698113205</v>
      </c>
    </row>
    <row r="463" spans="1:9" x14ac:dyDescent="0.2">
      <c r="A463" s="246" t="s">
        <v>187</v>
      </c>
      <c r="B463" s="247"/>
      <c r="C463" s="4">
        <f>SUM(C455:C462)</f>
        <v>179311</v>
      </c>
      <c r="D463" s="400">
        <f>SUM(D455:E462)</f>
        <v>151265</v>
      </c>
      <c r="E463" s="400">
        <f>SUM(E455:E462)</f>
        <v>0</v>
      </c>
      <c r="F463" s="166">
        <f t="shared" si="42"/>
        <v>0.18540971143357685</v>
      </c>
      <c r="G463" s="400">
        <f>SUM(G455:H462)</f>
        <v>165786</v>
      </c>
      <c r="H463" s="400">
        <f>SUM(H455:H462)</f>
        <v>0</v>
      </c>
      <c r="I463" s="166">
        <f t="shared" si="43"/>
        <v>8.1581074397114359E-2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250</v>
      </c>
      <c r="D465" s="399">
        <f>SUMIFS(Data!$AP:$AP,Data!$AN:$AN,MarketProfile!A465,Data!$AS:$AS,"0")</f>
        <v>4</v>
      </c>
      <c r="E465" s="399"/>
      <c r="F465" s="179">
        <f t="shared" ref="F465:F473" si="44">IFERROR(IF(OR(AND(D465="",C465=""),AND(D465=0,C465=0)),"",
IF(OR(D465="",D465=0),1,
IF(OR(D465&lt;&gt;"",D465&lt;&gt;0),(C465-D465)/ABS(D465)))),-1)</f>
        <v>61.5</v>
      </c>
      <c r="G465" s="399">
        <f>SUMIFS(Data!$BD:$BD,Data!$BB:$BB,MarketProfile!A465,Data!BG:BG,"0")</f>
        <v>0</v>
      </c>
      <c r="H465" s="399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316</v>
      </c>
      <c r="D466" s="399">
        <f>SUMIFS(Data!$AP:$AP,Data!$AN:$AN,MarketProfile!A466,Data!$AS:$AS,"0")</f>
        <v>2586</v>
      </c>
      <c r="E466" s="399"/>
      <c r="F466" s="179">
        <f t="shared" si="44"/>
        <v>-0.87780355761794282</v>
      </c>
      <c r="G466" s="399">
        <f>SUMIFS(Data!$BD:$BD,Data!$BB:$BB,MarketProfile!A466,Data!BG:BG,"0")</f>
        <v>1612</v>
      </c>
      <c r="H466" s="399"/>
      <c r="I466" s="179">
        <f t="shared" si="45"/>
        <v>-0.80397022332506207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11309</v>
      </c>
      <c r="D467" s="399">
        <f>SUMIFS(Data!$AP:$AP,Data!$AN:$AN,MarketProfile!A467,Data!$AS:$AS,"0")</f>
        <v>7635</v>
      </c>
      <c r="E467" s="399"/>
      <c r="F467" s="179">
        <f t="shared" si="44"/>
        <v>0.48120497707924031</v>
      </c>
      <c r="G467" s="399">
        <f>SUMIFS(Data!$BD:$BD,Data!$BB:$BB,MarketProfile!A467,Data!BG:BG,"0")</f>
        <v>7956</v>
      </c>
      <c r="H467" s="399"/>
      <c r="I467" s="179">
        <f t="shared" si="45"/>
        <v>0.4214429361488185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99">
        <f>SUMIFS(Data!$AP:$AP,Data!$AN:$AN,MarketProfile!A468,Data!$AS:$AS,"0")</f>
        <v>0</v>
      </c>
      <c r="E468" s="399"/>
      <c r="F468" s="179" t="str">
        <f t="shared" si="44"/>
        <v/>
      </c>
      <c r="G468" s="399">
        <f>SUMIFS(Data!$BD:$BD,Data!$BB:$BB,MarketProfile!A468,Data!BG:BG,"0")</f>
        <v>0</v>
      </c>
      <c r="H468" s="399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99</v>
      </c>
      <c r="D469" s="399">
        <f>SUMIFS(Data!$AP:$AP,Data!$AN:$AN,MarketProfile!A469,Data!$AS:$AS,"0")</f>
        <v>184</v>
      </c>
      <c r="E469" s="399"/>
      <c r="F469" s="179">
        <f t="shared" si="44"/>
        <v>-0.46195652173913043</v>
      </c>
      <c r="G469" s="399">
        <f>SUMIFS(Data!$BD:$BD,Data!$BB:$BB,MarketProfile!A469,Data!BG:BG,"0")</f>
        <v>562</v>
      </c>
      <c r="H469" s="399"/>
      <c r="I469" s="179">
        <f t="shared" si="45"/>
        <v>-0.82384341637010672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13932</v>
      </c>
      <c r="D470" s="399">
        <f>SUMIFS(Data!$AP:$AP,Data!$AN:$AN,MarketProfile!A470,Data!$AS:$AS,"0")</f>
        <v>11450</v>
      </c>
      <c r="E470" s="399"/>
      <c r="F470" s="179">
        <f t="shared" si="44"/>
        <v>0.21676855895196506</v>
      </c>
      <c r="G470" s="399">
        <f>SUMIFS(Data!$BD:$BD,Data!$BB:$BB,MarketProfile!A470,Data!BG:BG,"0")</f>
        <v>10787</v>
      </c>
      <c r="H470" s="399"/>
      <c r="I470" s="179">
        <f t="shared" si="45"/>
        <v>0.29155464911467505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99">
        <f>SUMIFS(Data!$AP:$AP,Data!$AN:$AN,MarketProfile!A471,Data!$AS:$AS,"0")</f>
        <v>10</v>
      </c>
      <c r="E471" s="399"/>
      <c r="F471" s="179">
        <f t="shared" si="44"/>
        <v>-1</v>
      </c>
      <c r="G471" s="399">
        <f>SUMIFS(Data!$BD:$BD,Data!$BB:$BB,MarketProfile!A471,Data!BG:BG,"0")</f>
        <v>0</v>
      </c>
      <c r="H471" s="399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99">
        <f>SUMIFS(Data!$AP:$AP,Data!$AN:$AN,MarketProfile!A472,Data!$AS:$AS,"0")</f>
        <v>0</v>
      </c>
      <c r="E472" s="399"/>
      <c r="F472" s="179" t="str">
        <f t="shared" si="44"/>
        <v/>
      </c>
      <c r="G472" s="399">
        <f>SUMIFS(Data!$BD:$BD,Data!$BB:$BB,MarketProfile!A472,Data!BG:BG,"0")</f>
        <v>0</v>
      </c>
      <c r="H472" s="399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25906</v>
      </c>
      <c r="D473" s="400">
        <f>SUM(D465:E472)</f>
        <v>21869</v>
      </c>
      <c r="E473" s="400">
        <v>34213</v>
      </c>
      <c r="F473" s="166">
        <f t="shared" si="44"/>
        <v>0.18459920435319402</v>
      </c>
      <c r="G473" s="400">
        <f>SUM(G465:H472)</f>
        <v>20917</v>
      </c>
      <c r="H473" s="400">
        <f>SUM(H465:H472)</f>
        <v>0</v>
      </c>
      <c r="I473" s="166">
        <f t="shared" si="45"/>
        <v>0.23851412726490415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3106442.0493800002</v>
      </c>
      <c r="D476" s="399">
        <f>SUMIFS(Data!$AO:$AO,Data!$AN:$AN,MarketProfile!A476,Data!$AS:$AS,"1")/1000</f>
        <v>2434084.7679400002</v>
      </c>
      <c r="E476" s="399"/>
      <c r="F476" s="179">
        <f t="shared" ref="F476:F484" si="46">IFERROR(IF(OR(AND(D476="",C476=""),AND(D476=0,C476=0)),"",
IF(OR(D476="",D476=0),1,
IF(OR(D476&lt;&gt;"",D476&lt;&gt;0),(C476-D476)/ABS(D476)))),-1)</f>
        <v>0.27622591057460394</v>
      </c>
      <c r="G476" s="399">
        <f>SUMIFS(Data!$BC:$BC,Data!$BB:$BB,MarketProfile!A476,Data!BG:BG,"1")/1000</f>
        <v>1964420.84711</v>
      </c>
      <c r="H476" s="399"/>
      <c r="I476" s="179">
        <f t="shared" ref="I476:I484" si="47">IFERROR(IF(OR(AND(G476="",C476=""),AND(G476=0,C476=0)),"",
IF(OR(G476="",G476=0),1,
IF(OR(G476&lt;&gt;"",G476&lt;&gt;0),(C476-G476)/ABS(G476)))),-1)</f>
        <v>0.58135261797394855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11442017.92458</v>
      </c>
      <c r="D477" s="399">
        <f>SUMIFS(Data!$AO:$AO,Data!$AN:$AN,MarketProfile!A477,Data!$AS:$AS,"1")/1000</f>
        <v>7263526.1452600006</v>
      </c>
      <c r="E477" s="399"/>
      <c r="F477" s="179">
        <f t="shared" si="46"/>
        <v>0.5752704259276028</v>
      </c>
      <c r="G477" s="399">
        <f>SUMIFS(Data!$BC:$BC,Data!$BB:$BB,MarketProfile!A477,Data!BG:BG,"1")/1000</f>
        <v>9123876.0852450002</v>
      </c>
      <c r="H477" s="399"/>
      <c r="I477" s="179">
        <f t="shared" si="47"/>
        <v>0.25407423530048434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11164666.79768</v>
      </c>
      <c r="D478" s="399">
        <f>SUMIFS(Data!$AO:$AO,Data!$AN:$AN,MarketProfile!A478,Data!$AS:$AS,"1")/1000</f>
        <v>9860814.3384300005</v>
      </c>
      <c r="E478" s="399"/>
      <c r="F478" s="179">
        <f t="shared" si="46"/>
        <v>0.13222563720407635</v>
      </c>
      <c r="G478" s="399">
        <f>SUMIFS(Data!$BC:$BC,Data!$BB:$BB,MarketProfile!A478,Data!BG:BG,"1")/1000</f>
        <v>7802614.9340200005</v>
      </c>
      <c r="H478" s="399"/>
      <c r="I478" s="179">
        <f t="shared" si="47"/>
        <v>0.43088783594858626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41010.959986000002</v>
      </c>
      <c r="D479" s="399">
        <f>SUMIFS(Data!$AO:$AO,Data!$AN:$AN,MarketProfile!A479,Data!$AS:$AS,"1")/1000</f>
        <v>30910.243611000002</v>
      </c>
      <c r="E479" s="399"/>
      <c r="F479" s="179">
        <f t="shared" si="46"/>
        <v>0.32677569617747909</v>
      </c>
      <c r="G479" s="399">
        <f>SUMIFS(Data!$BC:$BC,Data!$BB:$BB,MarketProfile!A479,Data!BG:BG,"1")/1000</f>
        <v>161734.36008700001</v>
      </c>
      <c r="H479" s="399"/>
      <c r="I479" s="179">
        <f t="shared" si="47"/>
        <v>-0.74643013417841808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2812798.9134849999</v>
      </c>
      <c r="D480" s="399">
        <f>SUMIFS(Data!$AO:$AO,Data!$AN:$AN,MarketProfile!A480,Data!$AS:$AS,"1")/1000</f>
        <v>2032510.1900499999</v>
      </c>
      <c r="E480" s="399"/>
      <c r="F480" s="179">
        <f t="shared" si="46"/>
        <v>0.38390396626538187</v>
      </c>
      <c r="G480" s="399">
        <f>SUMIFS(Data!$BC:$BC,Data!$BB:$BB,MarketProfile!A480,Data!BG:BG,"1")/1000</f>
        <v>5936392.7582</v>
      </c>
      <c r="H480" s="399"/>
      <c r="I480" s="179">
        <f t="shared" si="47"/>
        <v>-0.52617708631228077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17276618.607269999</v>
      </c>
      <c r="D481" s="399">
        <f>SUMIFS(Data!$AO:$AO,Data!$AN:$AN,MarketProfile!A481,Data!$AS:$AS,"1")/1000</f>
        <v>19977920.63680999</v>
      </c>
      <c r="E481" s="399"/>
      <c r="F481" s="179">
        <f t="shared" si="46"/>
        <v>-0.1352143738404262</v>
      </c>
      <c r="G481" s="399">
        <f>SUMIFS(Data!$BC:$BC,Data!$BB:$BB,MarketProfile!A481,Data!BG:BG,"1")/1000</f>
        <v>10836958.315269992</v>
      </c>
      <c r="H481" s="399"/>
      <c r="I481" s="179">
        <f t="shared" si="47"/>
        <v>0.59423134284147783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898.18000300000006</v>
      </c>
      <c r="D482" s="399">
        <f>SUMIFS(Data!$AO:$AO,Data!$AN:$AN,MarketProfile!A482,Data!$AS:$AS,"1")/1000</f>
        <v>32196.126609000003</v>
      </c>
      <c r="E482" s="399"/>
      <c r="F482" s="179">
        <f t="shared" si="46"/>
        <v>-0.97210285529350204</v>
      </c>
      <c r="G482" s="399">
        <f>SUMIFS(Data!$BC:$BC,Data!$BB:$BB,MarketProfile!A482,Data!BG:BG,"1")/1000</f>
        <v>1022.48</v>
      </c>
      <c r="H482" s="399"/>
      <c r="I482" s="179">
        <f t="shared" si="47"/>
        <v>-0.12156716708395271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18930.978850000003</v>
      </c>
      <c r="D483" s="399">
        <f>SUMIFS(Data!$AO:$AO,Data!$AN:$AN,MarketProfile!A483,Data!$AS:$AS,"1")/1000</f>
        <v>651.94000000000005</v>
      </c>
      <c r="E483" s="399"/>
      <c r="F483" s="179">
        <f t="shared" si="46"/>
        <v>28.037915835813116</v>
      </c>
      <c r="G483" s="399">
        <f>SUMIFS(Data!$BC:$BC,Data!$BB:$BB,MarketProfile!A483,Data!BG:BG,"1")/1000</f>
        <v>40540.983659999998</v>
      </c>
      <c r="H483" s="399"/>
      <c r="I483" s="179">
        <f t="shared" si="47"/>
        <v>-0.53304095902639959</v>
      </c>
    </row>
    <row r="484" spans="1:9" x14ac:dyDescent="0.2">
      <c r="A484" s="246" t="s">
        <v>187</v>
      </c>
      <c r="B484" s="247"/>
      <c r="C484" s="4">
        <f>SUM(C476:C483)</f>
        <v>45863384.411233999</v>
      </c>
      <c r="D484" s="400">
        <f>SUM(D476:E483)</f>
        <v>41632614.388709985</v>
      </c>
      <c r="E484" s="400">
        <f>SUM(E476:E483)</f>
        <v>0</v>
      </c>
      <c r="F484" s="166">
        <f t="shared" si="46"/>
        <v>0.10162153121162919</v>
      </c>
      <c r="G484" s="400">
        <f>SUM(G476:H483)</f>
        <v>35867560.763591982</v>
      </c>
      <c r="H484" s="400">
        <f>SUM(H476:H483)</f>
        <v>0</v>
      </c>
      <c r="I484" s="166">
        <f t="shared" si="47"/>
        <v>0.27868702066265011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2510.9</v>
      </c>
      <c r="D486" s="399">
        <f>SUMIFS(Data!$AO:$AO,Data!$AN:$AN,MarketProfile!A486,Data!$AS:$AS,"0")/1000</f>
        <v>43.408000000000001</v>
      </c>
      <c r="E486" s="399"/>
      <c r="F486" s="179">
        <f t="shared" ref="F486:F494" si="48">IFERROR(IF(OR(AND(D486="",C486=""),AND(D486=0,C486=0)),"",
IF(OR(D486="",D486=0),1,
IF(OR(D486&lt;&gt;"",D486&lt;&gt;0),(C486-D486)/ABS(D486)))),-1)</f>
        <v>56.844176188720979</v>
      </c>
      <c r="G486" s="399">
        <f>SUMIFS(Data!$BC:$BC,Data!$BB:$BB,MarketProfile!A486,Data!BG:BG,"0")/1000</f>
        <v>0</v>
      </c>
      <c r="H486" s="399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190.33260000000001</v>
      </c>
      <c r="D487" s="399">
        <f>SUMIFS(Data!$AO:$AO,Data!$AN:$AN,MarketProfile!A487,Data!$AS:$AS,"0")/1000</f>
        <v>7857.4769999999999</v>
      </c>
      <c r="E487" s="399"/>
      <c r="F487" s="179">
        <f t="shared" si="48"/>
        <v>-0.97577688105227678</v>
      </c>
      <c r="G487" s="399">
        <f>SUMIFS(Data!$BC:$BC,Data!$BB:$BB,MarketProfile!A487,Data!BG:BG,"0")/1000</f>
        <v>9069.4520599999996</v>
      </c>
      <c r="H487" s="399"/>
      <c r="I487" s="179">
        <f t="shared" si="49"/>
        <v>-0.97901388102160614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86048.421950000004</v>
      </c>
      <c r="D488" s="399">
        <f>SUMIFS(Data!$AO:$AO,Data!$AN:$AN,MarketProfile!A488,Data!$AS:$AS,"0")/1000</f>
        <v>59612.666239999999</v>
      </c>
      <c r="E488" s="399"/>
      <c r="F488" s="179">
        <f t="shared" si="48"/>
        <v>0.44345870395345038</v>
      </c>
      <c r="G488" s="399">
        <f>SUMIFS(Data!$BC:$BC,Data!$BB:$BB,MarketProfile!A488,Data!BG:BG,"0")/1000</f>
        <v>57441.707950000004</v>
      </c>
      <c r="H488" s="399"/>
      <c r="I488" s="179">
        <f t="shared" si="49"/>
        <v>0.49801294252776473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99">
        <f>SUMIFS(Data!$AO:$AO,Data!$AN:$AN,MarketProfile!A489,Data!$AS:$AS,"0")/1000</f>
        <v>0</v>
      </c>
      <c r="E489" s="399"/>
      <c r="F489" s="179" t="str">
        <f t="shared" si="48"/>
        <v/>
      </c>
      <c r="G489" s="399">
        <f>SUMIFS(Data!$BC:$BC,Data!$BB:$BB,MarketProfile!A489,Data!BG:BG,"0")/1000</f>
        <v>0</v>
      </c>
      <c r="H489" s="399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423.71940000000001</v>
      </c>
      <c r="D490" s="399">
        <f>SUMIFS(Data!$AO:$AO,Data!$AN:$AN,MarketProfile!A490,Data!$AS:$AS,"0")/1000</f>
        <v>1300.0808</v>
      </c>
      <c r="E490" s="399"/>
      <c r="F490" s="179">
        <f t="shared" si="48"/>
        <v>-0.67408225704125468</v>
      </c>
      <c r="G490" s="399">
        <f>SUMIFS(Data!$BC:$BC,Data!$BB:$BB,MarketProfile!A490,Data!BG:BG,"0")/1000</f>
        <v>1736.7188600000002</v>
      </c>
      <c r="H490" s="399"/>
      <c r="I490" s="179">
        <f t="shared" si="49"/>
        <v>-0.75602303299683182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137743.97162999999</v>
      </c>
      <c r="D491" s="399">
        <f>SUMIFS(Data!$AO:$AO,Data!$AN:$AN,MarketProfile!A491,Data!$AS:$AS,"0")/1000</f>
        <v>325145.89829000004</v>
      </c>
      <c r="E491" s="399"/>
      <c r="F491" s="179">
        <f>IFERROR(IF(OR(AND(D491="",C491=""),AND(D491=0,C491=0)),"",
IF(OR(D491="",D491=0),1,
IF(OR(D491&lt;&gt;"",D491&lt;&gt;0),(C491-D491)/ABS(D491)))),-1)</f>
        <v>-0.57636257337269214</v>
      </c>
      <c r="G491" s="399">
        <f>SUMIFS(Data!$BC:$BC,Data!$BB:$BB,MarketProfile!A491,Data!BG:BG,"0")/1000</f>
        <v>82029.402950000003</v>
      </c>
      <c r="H491" s="399"/>
      <c r="I491" s="179">
        <f t="shared" si="49"/>
        <v>0.67920241616241073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99">
        <f>SUMIFS(Data!$AO:$AO,Data!$AN:$AN,MarketProfile!A492,Data!$AS:$AS,"0")/1000</f>
        <v>44</v>
      </c>
      <c r="E492" s="399"/>
      <c r="F492" s="179">
        <f t="shared" si="48"/>
        <v>-1</v>
      </c>
      <c r="G492" s="399">
        <f>SUMIFS(Data!$BC:$BC,Data!$BB:$BB,MarketProfile!A492,Data!BG:BG,"0")/1000</f>
        <v>0</v>
      </c>
      <c r="H492" s="399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99">
        <f>SUMIFS(Data!$AO:$AO,Data!$AN:$AN,MarketProfile!A493,Data!$AS:$AS,"0")/1000</f>
        <v>0</v>
      </c>
      <c r="E493" s="399"/>
      <c r="F493" s="179" t="str">
        <f t="shared" si="48"/>
        <v/>
      </c>
      <c r="G493" s="399">
        <f>SUMIFS(Data!$BC:$BC,Data!$BB:$BB,MarketProfile!A493,Data!BG:BG,"0")/1000</f>
        <v>0</v>
      </c>
      <c r="H493" s="399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226917.34557999999</v>
      </c>
      <c r="D494" s="400">
        <f>SUM(D486:E493)</f>
        <v>394003.53033000004</v>
      </c>
      <c r="E494" s="400">
        <f>SUM(E486:E493)</f>
        <v>0</v>
      </c>
      <c r="F494" s="166">
        <f t="shared" si="48"/>
        <v>-0.42407281125135099</v>
      </c>
      <c r="G494" s="400">
        <f>SUM(G486:H493)</f>
        <v>150277.28182</v>
      </c>
      <c r="H494" s="400">
        <f>SUM(H486:H493)</f>
        <v>0</v>
      </c>
      <c r="I494" s="166">
        <f t="shared" si="49"/>
        <v>0.50999101681782066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8670</v>
      </c>
      <c r="D497" s="399">
        <f>SUMIFS(Data!$AY:$AY,Data!$AU:$AU,MarketProfile!A497,Data!$AZ:$AZ,"1")</f>
        <v>8085</v>
      </c>
      <c r="E497" s="399"/>
      <c r="F497" s="179">
        <f t="shared" ref="F497:F512" si="50">IFERROR(IF(OR(AND(D497="",C497=""),AND(D497=0,C497=0)),"",
IF(OR(D497="",D497=0),1,
IF(OR(D497&lt;&gt;"",D497&lt;&gt;0),(C497-D497)/ABS(D497)))),-1)</f>
        <v>7.2356215213358069E-2</v>
      </c>
      <c r="G497" s="399">
        <f>SUMIFS(Data!$BL:$BL,Data!$BH:$BH,MarketProfile!A497,Data!$BM:$BM,"1")</f>
        <v>16516</v>
      </c>
      <c r="H497" s="399"/>
      <c r="I497" s="179">
        <f t="shared" ref="I497:I504" si="51">IFERROR(IF(OR(AND(G497="",C497=""),AND(G497=0,C497=0)),"",
IF(OR(G497="",G497=0),1,
IF(OR(G497&lt;&gt;"",G497&lt;&gt;0),(C497-G497)/ABS(G497)))),-1)</f>
        <v>-0.47505449261322352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14946</v>
      </c>
      <c r="D498" s="399">
        <f>SUMIFS(Data!$AY:$AY,Data!$AU:$AU,MarketProfile!A498,Data!$AZ:$AZ,"1")</f>
        <v>11628</v>
      </c>
      <c r="E498" s="399"/>
      <c r="F498" s="179">
        <f t="shared" si="50"/>
        <v>0.28534571723426211</v>
      </c>
      <c r="G498" s="399">
        <f>SUMIFS(Data!$BL:$BL,Data!$BH:$BH,MarketProfile!A498,Data!$BM:$BM,"1")</f>
        <v>16628</v>
      </c>
      <c r="H498" s="399"/>
      <c r="I498" s="179">
        <f t="shared" si="51"/>
        <v>-0.10115467885494347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19873</v>
      </c>
      <c r="D499" s="399">
        <f>SUMIFS(Data!$AY:$AY,Data!$AU:$AU,MarketProfile!A499,Data!$AZ:$AZ,"1")</f>
        <v>19111</v>
      </c>
      <c r="E499" s="399"/>
      <c r="F499" s="179">
        <f t="shared" si="50"/>
        <v>3.9872324839097903E-2</v>
      </c>
      <c r="G499" s="399">
        <f>SUMIFS(Data!$BL:$BL,Data!$BH:$BH,MarketProfile!A499,Data!$BM:$BM,"1")</f>
        <v>22162</v>
      </c>
      <c r="H499" s="399"/>
      <c r="I499" s="179">
        <f t="shared" si="51"/>
        <v>-0.1032849020846494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427</v>
      </c>
      <c r="D500" s="399">
        <f>SUMIFS(Data!$AY:$AY,Data!$AU:$AU,MarketProfile!A500,Data!$AZ:$AZ,"1")</f>
        <v>604</v>
      </c>
      <c r="E500" s="399"/>
      <c r="F500" s="179">
        <f t="shared" si="50"/>
        <v>-0.29304635761589404</v>
      </c>
      <c r="G500" s="399">
        <f>SUMIFS(Data!$BL:$BL,Data!$BH:$BH,MarketProfile!A500,Data!$BM:$BM,"1")</f>
        <v>920</v>
      </c>
      <c r="H500" s="399"/>
      <c r="I500" s="179">
        <f t="shared" si="51"/>
        <v>-0.53586956521739126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3303</v>
      </c>
      <c r="D501" s="399">
        <f>SUMIFS(Data!$AY:$AY,Data!$AU:$AU,MarketProfile!A501,Data!$AZ:$AZ,"1")</f>
        <v>2636</v>
      </c>
      <c r="E501" s="399"/>
      <c r="F501" s="179">
        <f t="shared" si="50"/>
        <v>0.25303490136570561</v>
      </c>
      <c r="G501" s="399">
        <f>SUMIFS(Data!$BL:$BL,Data!$BH:$BH,MarketProfile!A501,Data!$BM:$BM,"1")</f>
        <v>7096</v>
      </c>
      <c r="H501" s="399"/>
      <c r="I501" s="179">
        <f t="shared" si="51"/>
        <v>-0.5345264937993236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21940</v>
      </c>
      <c r="D502" s="399">
        <f>SUMIFS(Data!$AY:$AY,Data!$AU:$AU,MarketProfile!A502,Data!$AZ:$AZ,"1")</f>
        <v>21767</v>
      </c>
      <c r="E502" s="399"/>
      <c r="F502" s="179">
        <f t="shared" si="50"/>
        <v>7.9478109064179715E-3</v>
      </c>
      <c r="G502" s="399">
        <f>SUMIFS(Data!$BL:$BL,Data!$BH:$BH,MarketProfile!A502,Data!$BM:$BM,"1")</f>
        <v>33529</v>
      </c>
      <c r="H502" s="399"/>
      <c r="I502" s="179">
        <f t="shared" si="51"/>
        <v>-0.34564108682036448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280</v>
      </c>
      <c r="D503" s="399">
        <f>SUMIFS(Data!$AY:$AY,Data!$AU:$AU,MarketProfile!A503,Data!$AZ:$AZ,"1")</f>
        <v>287</v>
      </c>
      <c r="E503" s="399"/>
      <c r="F503" s="179">
        <f t="shared" si="50"/>
        <v>-2.4390243902439025E-2</v>
      </c>
      <c r="G503" s="399">
        <f>SUMIFS(Data!$BL:$BL,Data!$BH:$BH,MarketProfile!A503,Data!$BM:$BM,"1")</f>
        <v>14</v>
      </c>
      <c r="H503" s="399"/>
      <c r="I503" s="179">
        <f t="shared" si="51"/>
        <v>19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0</v>
      </c>
      <c r="D504" s="399">
        <f>SUMIFS(Data!$AY:$AY,Data!$AU:$AU,MarketProfile!A504,Data!$AZ:$AZ,"1")</f>
        <v>0</v>
      </c>
      <c r="E504" s="399"/>
      <c r="F504" s="179" t="str">
        <f t="shared" si="50"/>
        <v/>
      </c>
      <c r="G504" s="399">
        <f>SUMIFS(Data!$BL:$BL,Data!$BH:$BH,MarketProfile!A504,Data!$BM:$BM,"1")</f>
        <v>410</v>
      </c>
      <c r="H504" s="399"/>
      <c r="I504" s="179">
        <f t="shared" si="51"/>
        <v>-1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154</v>
      </c>
      <c r="D506" s="399">
        <f>SUMIFS(Data!$AY:$AY,Data!$AU:$AU,MarketProfile!A506,Data!$AZ:$AZ,"0")</f>
        <v>4</v>
      </c>
      <c r="E506" s="399"/>
      <c r="F506" s="179">
        <f t="shared" si="50"/>
        <v>37.5</v>
      </c>
      <c r="G506" s="399">
        <f>SUMIFS(Data!$BL:$BL,Data!$BH:$BH,MarketProfile!A506,Data!$BM:$BM,"0")</f>
        <v>0</v>
      </c>
      <c r="H506" s="399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1419</v>
      </c>
      <c r="D507" s="399">
        <f>SUMIFS(Data!$AY:$AY,Data!$AU:$AU,MarketProfile!A507,Data!$AZ:$AZ,"0")</f>
        <v>3909</v>
      </c>
      <c r="E507" s="399"/>
      <c r="F507" s="179">
        <f t="shared" si="50"/>
        <v>-0.63699155794320794</v>
      </c>
      <c r="G507" s="399">
        <f>SUMIFS(Data!$BL:$BL,Data!$BH:$BH,MarketProfile!A507,Data!$BM:$BM,"0")</f>
        <v>1767</v>
      </c>
      <c r="H507" s="399"/>
      <c r="I507" s="179">
        <f t="shared" si="52"/>
        <v>-0.19694397283531409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19810</v>
      </c>
      <c r="D508" s="399">
        <f>SUMIFS(Data!$AY:$AY,Data!$AU:$AU,MarketProfile!A508,Data!$AZ:$AZ,"0")</f>
        <v>12289</v>
      </c>
      <c r="E508" s="399"/>
      <c r="F508" s="179">
        <f t="shared" si="50"/>
        <v>0.61201074131336963</v>
      </c>
      <c r="G508" s="399">
        <f>SUMIFS(Data!$BL:$BL,Data!$BH:$BH,MarketProfile!A508,Data!$BM:$BM,"0")</f>
        <v>16447</v>
      </c>
      <c r="H508" s="399"/>
      <c r="I508" s="179">
        <f t="shared" si="52"/>
        <v>0.20447498023955737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99">
        <f>SUMIFS(Data!$AY:$AY,Data!$AU:$AU,MarketProfile!A509,Data!$AZ:$AZ,"0")</f>
        <v>0</v>
      </c>
      <c r="E509" s="399"/>
      <c r="F509" s="179" t="str">
        <f t="shared" si="50"/>
        <v/>
      </c>
      <c r="G509" s="399">
        <f>SUMIFS(Data!$BL:$BL,Data!$BH:$BH,MarketProfile!A509,Data!$BM:$BM,"0")</f>
        <v>0</v>
      </c>
      <c r="H509" s="399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294</v>
      </c>
      <c r="D510" s="399">
        <f>SUMIFS(Data!$AY:$AY,Data!$AU:$AU,MarketProfile!A510,Data!$AZ:$AZ,"0")</f>
        <v>995</v>
      </c>
      <c r="E510" s="399"/>
      <c r="F510" s="179">
        <f t="shared" si="50"/>
        <v>-0.7045226130653266</v>
      </c>
      <c r="G510" s="399">
        <f>SUMIFS(Data!$BL:$BL,Data!$BH:$BH,MarketProfile!A510,Data!$BM:$BM,"0")</f>
        <v>665</v>
      </c>
      <c r="H510" s="399"/>
      <c r="I510" s="179">
        <f t="shared" si="52"/>
        <v>-0.55789473684210522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30810</v>
      </c>
      <c r="D511" s="399">
        <f>SUMIFS(Data!$AY:$AY,Data!$AU:$AU,MarketProfile!A511,Data!$AZ:$AZ,"0")</f>
        <v>29724</v>
      </c>
      <c r="E511" s="399"/>
      <c r="F511" s="179">
        <f t="shared" si="50"/>
        <v>3.653613241824788E-2</v>
      </c>
      <c r="G511" s="399">
        <f>SUMIFS(Data!$BL:$BL,Data!$BH:$BH,MarketProfile!A511,Data!$BM:$BM,"0")</f>
        <v>29217</v>
      </c>
      <c r="H511" s="399"/>
      <c r="I511" s="179">
        <f t="shared" si="52"/>
        <v>5.4523051648013146E-2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0</v>
      </c>
      <c r="D512" s="399">
        <f>SUMIFS(Data!$AY:$AY,Data!$AU:$AU,MarketProfile!A512,Data!$AZ:$AZ,"0")</f>
        <v>0</v>
      </c>
      <c r="E512" s="399"/>
      <c r="F512" s="179" t="str">
        <f t="shared" si="50"/>
        <v/>
      </c>
      <c r="G512" s="399">
        <f>SUMIFS(Data!$BL:$BL,Data!$BH:$BH,MarketProfile!A512,Data!$BM:$BM,"0")</f>
        <v>40</v>
      </c>
      <c r="H512" s="399"/>
      <c r="I512" s="179">
        <f t="shared" si="52"/>
        <v>-1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99">
        <f>SUMIFS(Data!$AY:$AY,Data!$AU:$AU,MarketProfile!A513,Data!$AZ:$AZ,"0")</f>
        <v>0</v>
      </c>
      <c r="E513" s="399"/>
      <c r="F513" s="179" t="str">
        <f t="shared" ref="F513" si="53">IFERROR(IF(OR(AND(C513="",D513=""),AND(C513=0,D513=0)),"",
IF(OR(C513="",C513=0),1,
IF(OR(C513&lt;&gt;"",C513&lt;&gt;0),(D513-C513)/ABS(C513)))),-1)</f>
        <v/>
      </c>
      <c r="G513" s="399">
        <f>SUMIFS(Data!$BL:$BL,Data!$BH:$BH,MarketProfile!A513,Data!$BM:$BM,"0")</f>
        <v>0</v>
      </c>
      <c r="H513" s="399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1" max="16383" man="1"/>
    <brk id="168" max="16383" man="1"/>
    <brk id="249" max="16383" man="1"/>
    <brk id="333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23" sqref="F23:F29"/>
    </sheetView>
  </sheetViews>
  <sheetFormatPr defaultRowHeight="12.75" x14ac:dyDescent="0.2"/>
  <cols>
    <col min="1" max="1" width="30.85546875" bestFit="1" customWidth="1"/>
    <col min="2" max="3" width="17.7109375" bestFit="1" customWidth="1"/>
    <col min="4" max="4" width="16" bestFit="1" customWidth="1"/>
    <col min="6" max="6" width="30.7109375" bestFit="1" customWidth="1"/>
    <col min="7" max="7" width="21.85546875" bestFit="1" customWidth="1"/>
    <col min="8" max="8" width="19.85546875" bestFit="1" customWidth="1"/>
  </cols>
  <sheetData>
    <row r="1" spans="1:8" x14ac:dyDescent="0.2">
      <c r="A1" s="375" t="s">
        <v>667</v>
      </c>
      <c r="B1" s="376" t="s">
        <v>668</v>
      </c>
      <c r="C1" s="376" t="s">
        <v>672</v>
      </c>
      <c r="D1" s="376" t="s">
        <v>669</v>
      </c>
      <c r="F1" s="376" t="s">
        <v>667</v>
      </c>
      <c r="G1" s="376" t="s">
        <v>673</v>
      </c>
      <c r="H1" s="382"/>
    </row>
    <row r="2" spans="1:8" x14ac:dyDescent="0.2">
      <c r="A2" s="377" t="s">
        <v>670</v>
      </c>
      <c r="B2" s="378"/>
      <c r="C2" s="378"/>
      <c r="D2" s="378"/>
      <c r="F2" s="389" t="s">
        <v>674</v>
      </c>
      <c r="G2" s="388"/>
      <c r="H2" s="382"/>
    </row>
    <row r="3" spans="1:8" x14ac:dyDescent="0.2">
      <c r="A3" s="379" t="s">
        <v>451</v>
      </c>
      <c r="B3" s="2">
        <v>5683835.9699999997</v>
      </c>
      <c r="C3" s="2">
        <v>9029</v>
      </c>
      <c r="D3" s="2">
        <v>3</v>
      </c>
      <c r="F3" s="390" t="s">
        <v>451</v>
      </c>
      <c r="G3" s="388">
        <v>323094</v>
      </c>
      <c r="H3" s="382"/>
    </row>
    <row r="4" spans="1:8" x14ac:dyDescent="0.2">
      <c r="A4" s="379" t="s">
        <v>182</v>
      </c>
      <c r="B4" s="2">
        <v>14074787.519999996</v>
      </c>
      <c r="C4" s="2">
        <v>453826</v>
      </c>
      <c r="D4" s="2">
        <v>61</v>
      </c>
      <c r="F4" s="390" t="s">
        <v>182</v>
      </c>
      <c r="G4" s="388">
        <v>1434622</v>
      </c>
      <c r="H4" s="382"/>
    </row>
    <row r="5" spans="1:8" x14ac:dyDescent="0.2">
      <c r="A5" s="379" t="s">
        <v>446</v>
      </c>
      <c r="B5" s="2">
        <v>16227279375.93</v>
      </c>
      <c r="C5" s="2">
        <v>41255</v>
      </c>
      <c r="D5" s="2">
        <v>15123</v>
      </c>
      <c r="F5" s="390" t="s">
        <v>446</v>
      </c>
      <c r="G5" s="388">
        <v>601624</v>
      </c>
      <c r="H5" s="382"/>
    </row>
    <row r="6" spans="1:8" x14ac:dyDescent="0.2">
      <c r="A6" s="379" t="s">
        <v>449</v>
      </c>
      <c r="B6" s="2">
        <v>468140917.40000004</v>
      </c>
      <c r="C6" s="2">
        <v>20626</v>
      </c>
      <c r="D6" s="2">
        <v>8</v>
      </c>
      <c r="F6" s="391" t="s">
        <v>448</v>
      </c>
      <c r="G6" s="388">
        <v>760367</v>
      </c>
      <c r="H6" s="382"/>
    </row>
    <row r="7" spans="1:8" x14ac:dyDescent="0.2">
      <c r="A7" s="379" t="s">
        <v>450</v>
      </c>
      <c r="B7" s="2">
        <v>23552380.600000001</v>
      </c>
      <c r="C7" s="2">
        <v>35132</v>
      </c>
      <c r="D7" s="2">
        <v>3</v>
      </c>
      <c r="F7" s="390" t="s">
        <v>449</v>
      </c>
      <c r="G7" s="388">
        <v>203993</v>
      </c>
      <c r="H7" s="382"/>
    </row>
    <row r="8" spans="1:8" x14ac:dyDescent="0.2">
      <c r="A8" s="379" t="s">
        <v>447</v>
      </c>
      <c r="B8" s="2">
        <v>1117135078.2000003</v>
      </c>
      <c r="C8" s="2">
        <v>28251</v>
      </c>
      <c r="D8" s="2">
        <v>251</v>
      </c>
      <c r="F8" s="390" t="s">
        <v>450</v>
      </c>
      <c r="G8" s="388">
        <v>1284645</v>
      </c>
      <c r="H8" s="382"/>
    </row>
    <row r="9" spans="1:8" x14ac:dyDescent="0.2">
      <c r="F9" s="390" t="s">
        <v>447</v>
      </c>
      <c r="G9" s="388">
        <v>1161538</v>
      </c>
      <c r="H9" s="382"/>
    </row>
    <row r="10" spans="1:8" x14ac:dyDescent="0.2">
      <c r="A10" s="377" t="s">
        <v>671</v>
      </c>
      <c r="B10" s="378"/>
      <c r="C10" s="378"/>
      <c r="D10" s="378"/>
      <c r="H10" s="382"/>
    </row>
    <row r="11" spans="1:8" x14ac:dyDescent="0.2">
      <c r="A11" s="379" t="s">
        <v>446</v>
      </c>
      <c r="B11" s="2">
        <v>105741815</v>
      </c>
      <c r="C11" s="2">
        <v>10092</v>
      </c>
      <c r="D11" s="2">
        <v>9</v>
      </c>
      <c r="F11" s="389" t="s">
        <v>675</v>
      </c>
      <c r="G11" s="388"/>
      <c r="H11" s="382"/>
    </row>
    <row r="12" spans="1:8" x14ac:dyDescent="0.2">
      <c r="A12" s="379" t="s">
        <v>447</v>
      </c>
      <c r="B12" s="2">
        <v>20298096829</v>
      </c>
      <c r="C12" s="2">
        <v>45261</v>
      </c>
      <c r="D12" s="2">
        <v>76</v>
      </c>
      <c r="F12" s="390" t="s">
        <v>451</v>
      </c>
      <c r="G12" s="388">
        <v>387504</v>
      </c>
      <c r="H12" s="382"/>
    </row>
    <row r="13" spans="1:8" x14ac:dyDescent="0.2">
      <c r="F13" s="390" t="s">
        <v>446</v>
      </c>
      <c r="G13" s="388">
        <v>1204559</v>
      </c>
      <c r="H13" s="382"/>
    </row>
    <row r="14" spans="1:8" x14ac:dyDescent="0.2">
      <c r="F14" s="390" t="s">
        <v>447</v>
      </c>
      <c r="G14" s="388">
        <v>1456703</v>
      </c>
      <c r="H14" s="382"/>
    </row>
    <row r="15" spans="1:8" x14ac:dyDescent="0.2">
      <c r="F15" s="391" t="s">
        <v>448</v>
      </c>
      <c r="G15" s="384">
        <v>0</v>
      </c>
      <c r="H15" s="382"/>
    </row>
    <row r="16" spans="1:8" x14ac:dyDescent="0.2">
      <c r="F16" s="383"/>
      <c r="G16" s="384"/>
    </row>
    <row r="18" spans="1:7" x14ac:dyDescent="0.2">
      <c r="F18" s="385"/>
      <c r="G18" s="387"/>
    </row>
    <row r="19" spans="1:7" x14ac:dyDescent="0.2">
      <c r="F19" s="386"/>
      <c r="G19" s="387"/>
    </row>
    <row r="20" spans="1:7" x14ac:dyDescent="0.2">
      <c r="F20" s="386"/>
      <c r="G20" s="387"/>
    </row>
    <row r="21" spans="1:7" x14ac:dyDescent="0.2">
      <c r="F21" s="386"/>
      <c r="G21" s="387"/>
    </row>
    <row r="22" spans="1:7" x14ac:dyDescent="0.2">
      <c r="F22" s="386"/>
      <c r="G22" s="387"/>
    </row>
    <row r="23" spans="1:7" x14ac:dyDescent="0.2">
      <c r="F23" s="386">
        <v>699993765.41719449</v>
      </c>
      <c r="G23" s="387"/>
    </row>
    <row r="24" spans="1:7" x14ac:dyDescent="0.2">
      <c r="A24" s="396" t="s">
        <v>676</v>
      </c>
      <c r="B24" s="392">
        <v>206</v>
      </c>
      <c r="C24" s="392">
        <v>143115</v>
      </c>
      <c r="D24" s="393">
        <v>2153223644.25</v>
      </c>
      <c r="F24">
        <v>23921704.083603002</v>
      </c>
    </row>
    <row r="25" spans="1:7" x14ac:dyDescent="0.2">
      <c r="A25" s="396" t="s">
        <v>677</v>
      </c>
      <c r="B25" s="392">
        <v>19</v>
      </c>
      <c r="C25" s="392">
        <v>621098</v>
      </c>
      <c r="D25" s="393">
        <v>56549527760</v>
      </c>
      <c r="F25">
        <v>66134.558520000006</v>
      </c>
    </row>
    <row r="26" spans="1:7" x14ac:dyDescent="0.2">
      <c r="A26" s="397" t="s">
        <v>678</v>
      </c>
      <c r="B26" s="394">
        <v>225</v>
      </c>
      <c r="C26" s="394">
        <v>764213</v>
      </c>
      <c r="D26" s="395">
        <v>58702751404.25</v>
      </c>
      <c r="F26">
        <v>170370.69796700001</v>
      </c>
    </row>
    <row r="27" spans="1:7" x14ac:dyDescent="0.2">
      <c r="F27">
        <v>3027098.9345530001</v>
      </c>
    </row>
    <row r="28" spans="1:7" x14ac:dyDescent="0.2">
      <c r="F28">
        <v>4490.42</v>
      </c>
    </row>
    <row r="29" spans="1:7" x14ac:dyDescent="0.2">
      <c r="F29">
        <v>1873731.039716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538</v>
      </c>
      <c r="C1" s="188" t="s">
        <v>539</v>
      </c>
      <c r="D1" s="188" t="s">
        <v>540</v>
      </c>
      <c r="E1" s="153" t="s">
        <v>217</v>
      </c>
      <c r="F1" s="211" t="s">
        <v>540</v>
      </c>
      <c r="G1" s="211" t="s">
        <v>538</v>
      </c>
      <c r="H1" s="211" t="s">
        <v>539</v>
      </c>
      <c r="I1" s="153" t="s">
        <v>218</v>
      </c>
      <c r="J1" s="153" t="s">
        <v>220</v>
      </c>
      <c r="K1" s="235" t="s">
        <v>541</v>
      </c>
      <c r="L1" s="235" t="s">
        <v>542</v>
      </c>
      <c r="M1" s="237" t="s">
        <v>539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565</v>
      </c>
      <c r="T1" s="257" t="s">
        <v>566</v>
      </c>
      <c r="U1" s="257" t="s">
        <v>567</v>
      </c>
      <c r="V1" s="257" t="s">
        <v>568</v>
      </c>
      <c r="W1" s="257" t="s">
        <v>569</v>
      </c>
      <c r="X1" s="257" t="s">
        <v>570</v>
      </c>
      <c r="Y1" s="252" t="s">
        <v>458</v>
      </c>
      <c r="Z1" s="254" t="s">
        <v>521</v>
      </c>
      <c r="AA1" s="254" t="s">
        <v>566</v>
      </c>
      <c r="AB1" s="254" t="s">
        <v>567</v>
      </c>
      <c r="AC1" s="254" t="s">
        <v>568</v>
      </c>
      <c r="AD1" s="254" t="s">
        <v>569</v>
      </c>
      <c r="AE1" s="254" t="s">
        <v>570</v>
      </c>
      <c r="AF1" s="252" t="s">
        <v>466</v>
      </c>
      <c r="AG1" s="254" t="s">
        <v>521</v>
      </c>
      <c r="AH1" s="254" t="s">
        <v>566</v>
      </c>
      <c r="AI1" s="254" t="s">
        <v>567</v>
      </c>
      <c r="AJ1" s="254" t="s">
        <v>568</v>
      </c>
      <c r="AK1" s="254" t="s">
        <v>569</v>
      </c>
      <c r="AL1" s="254" t="s">
        <v>570</v>
      </c>
      <c r="AM1" s="252" t="s">
        <v>460</v>
      </c>
      <c r="AN1" s="254" t="s">
        <v>521</v>
      </c>
      <c r="AO1" s="254" t="s">
        <v>566</v>
      </c>
      <c r="AP1" s="254" t="s">
        <v>567</v>
      </c>
      <c r="AQ1" s="254" t="s">
        <v>568</v>
      </c>
      <c r="AR1" s="254" t="s">
        <v>569</v>
      </c>
      <c r="AS1" s="254" t="s">
        <v>570</v>
      </c>
      <c r="AT1" s="252" t="s">
        <v>467</v>
      </c>
      <c r="AU1" s="254" t="s">
        <v>521</v>
      </c>
      <c r="AV1" s="254" t="s">
        <v>566</v>
      </c>
      <c r="AW1" s="254" t="s">
        <v>567</v>
      </c>
      <c r="AX1" s="254" t="s">
        <v>568</v>
      </c>
      <c r="AY1" s="254" t="s">
        <v>569</v>
      </c>
      <c r="AZ1" s="254" t="s">
        <v>570</v>
      </c>
      <c r="BA1" s="252" t="s">
        <v>459</v>
      </c>
      <c r="BB1" s="254" t="s">
        <v>521</v>
      </c>
      <c r="BC1" s="254" t="s">
        <v>566</v>
      </c>
      <c r="BD1" s="254" t="s">
        <v>567</v>
      </c>
      <c r="BE1" s="254" t="s">
        <v>568</v>
      </c>
      <c r="BF1" s="254" t="s">
        <v>569</v>
      </c>
      <c r="BG1" s="254" t="s">
        <v>570</v>
      </c>
      <c r="BH1" s="252" t="s">
        <v>521</v>
      </c>
      <c r="BI1" s="254" t="s">
        <v>566</v>
      </c>
      <c r="BJ1" s="254" t="s">
        <v>567</v>
      </c>
      <c r="BK1" s="254" t="s">
        <v>568</v>
      </c>
      <c r="BL1" s="254" t="s">
        <v>569</v>
      </c>
      <c r="BM1" s="254" t="s">
        <v>570</v>
      </c>
      <c r="BN1" s="254"/>
      <c r="BO1" s="252" t="s">
        <v>468</v>
      </c>
      <c r="BP1" s="264" t="s">
        <v>566</v>
      </c>
      <c r="BQ1" s="264" t="s">
        <v>567</v>
      </c>
      <c r="BR1" s="264" t="s">
        <v>568</v>
      </c>
      <c r="BS1" s="261" t="s">
        <v>501</v>
      </c>
      <c r="BT1" s="266" t="s">
        <v>620</v>
      </c>
      <c r="BU1" s="266" t="s">
        <v>621</v>
      </c>
      <c r="BV1" s="266" t="s">
        <v>622</v>
      </c>
      <c r="BW1" s="266" t="s">
        <v>623</v>
      </c>
      <c r="BX1" s="266" t="s">
        <v>624</v>
      </c>
      <c r="BY1" s="266" t="s">
        <v>625</v>
      </c>
      <c r="BZ1" s="266" t="s">
        <v>626</v>
      </c>
      <c r="CA1" s="266" t="s">
        <v>627</v>
      </c>
      <c r="CB1" s="266" t="s">
        <v>628</v>
      </c>
      <c r="CC1" s="267" t="s">
        <v>502</v>
      </c>
      <c r="CD1" s="268" t="s">
        <v>633</v>
      </c>
      <c r="CE1" s="268" t="s">
        <v>634</v>
      </c>
      <c r="CF1" s="267" t="s">
        <v>507</v>
      </c>
      <c r="CG1" s="266" t="s">
        <v>6</v>
      </c>
      <c r="CH1" s="266" t="s">
        <v>635</v>
      </c>
      <c r="CI1" s="267" t="s">
        <v>509</v>
      </c>
      <c r="CJ1" s="247" t="s">
        <v>117</v>
      </c>
      <c r="CK1" s="247">
        <v>25580</v>
      </c>
      <c r="CL1" s="267" t="s">
        <v>512</v>
      </c>
      <c r="CM1" s="247" t="s">
        <v>117</v>
      </c>
      <c r="CN1" s="247">
        <v>16125</v>
      </c>
      <c r="CO1" s="267" t="s">
        <v>515</v>
      </c>
      <c r="CP1" s="247" t="s">
        <v>117</v>
      </c>
      <c r="CQ1" s="247">
        <v>661</v>
      </c>
      <c r="CR1" s="267" t="s">
        <v>518</v>
      </c>
      <c r="CS1" s="276" t="s">
        <v>639</v>
      </c>
      <c r="CT1" s="275" t="s">
        <v>640</v>
      </c>
      <c r="CU1" s="275" t="s">
        <v>641</v>
      </c>
      <c r="CV1" s="275" t="s">
        <v>642</v>
      </c>
      <c r="CW1" s="275" t="s">
        <v>643</v>
      </c>
      <c r="CX1" s="275" t="s">
        <v>644</v>
      </c>
      <c r="CY1" s="275" t="s">
        <v>645</v>
      </c>
      <c r="CZ1" s="275" t="s">
        <v>646</v>
      </c>
      <c r="DA1" s="275" t="s">
        <v>647</v>
      </c>
      <c r="DB1" s="275" t="s">
        <v>648</v>
      </c>
      <c r="DC1" s="275" t="s">
        <v>649</v>
      </c>
      <c r="DD1" s="275" t="s">
        <v>650</v>
      </c>
      <c r="DF1" s="354" t="s">
        <v>529</v>
      </c>
      <c r="DG1" s="345" t="s">
        <v>659</v>
      </c>
      <c r="DH1" s="345" t="s">
        <v>660</v>
      </c>
      <c r="DI1" s="354" t="s">
        <v>530</v>
      </c>
      <c r="DJ1" s="352" t="s">
        <v>659</v>
      </c>
      <c r="DK1" s="352" t="s">
        <v>660</v>
      </c>
      <c r="DL1" s="354" t="s">
        <v>531</v>
      </c>
      <c r="DM1" s="347" t="s">
        <v>659</v>
      </c>
      <c r="DN1" s="347" t="s">
        <v>660</v>
      </c>
    </row>
    <row r="2" spans="1:118" x14ac:dyDescent="0.2">
      <c r="B2" s="188">
        <v>5129583493</v>
      </c>
      <c r="C2" s="188">
        <v>351645899703.94183</v>
      </c>
      <c r="D2" s="188">
        <v>5154249</v>
      </c>
      <c r="E2" s="209"/>
      <c r="F2" s="211">
        <v>1313</v>
      </c>
      <c r="G2" s="211">
        <v>436521918</v>
      </c>
      <c r="H2" s="211">
        <v>17309865913.001804</v>
      </c>
      <c r="J2" s="152" t="str">
        <f>K2&amp;L2</f>
        <v>ABuy</v>
      </c>
      <c r="K2" s="234" t="s">
        <v>543</v>
      </c>
      <c r="L2" s="234" t="s">
        <v>544</v>
      </c>
      <c r="M2" s="238">
        <v>126753626607.31953</v>
      </c>
      <c r="O2" s="241">
        <v>67521777546.830002</v>
      </c>
      <c r="P2" s="241">
        <v>-69794569649.470001</v>
      </c>
      <c r="Q2" s="241">
        <v>-2272792102.6399999</v>
      </c>
      <c r="S2" s="253" t="s">
        <v>571</v>
      </c>
      <c r="T2" s="258">
        <v>0</v>
      </c>
      <c r="U2" s="258">
        <v>0</v>
      </c>
      <c r="V2" s="258">
        <v>0</v>
      </c>
      <c r="W2" s="258">
        <v>0</v>
      </c>
      <c r="X2" s="258">
        <v>1</v>
      </c>
      <c r="Y2" s="245"/>
      <c r="Z2" s="253" t="s">
        <v>572</v>
      </c>
      <c r="AA2" s="253">
        <v>5655162.2999999998</v>
      </c>
      <c r="AB2" s="253">
        <v>2783</v>
      </c>
      <c r="AC2" s="253">
        <v>38</v>
      </c>
      <c r="AD2" s="253">
        <v>52452</v>
      </c>
      <c r="AE2" s="253">
        <v>0</v>
      </c>
      <c r="AF2" s="253"/>
      <c r="AG2" s="253" t="s">
        <v>572</v>
      </c>
      <c r="AH2" s="253">
        <v>65292</v>
      </c>
      <c r="AI2" s="253">
        <v>7</v>
      </c>
      <c r="AJ2" s="253">
        <v>2</v>
      </c>
      <c r="AK2" s="253">
        <v>2658</v>
      </c>
      <c r="AL2" s="253">
        <v>0</v>
      </c>
      <c r="AM2" s="245"/>
      <c r="AN2" s="253" t="s">
        <v>572</v>
      </c>
      <c r="AO2" s="253">
        <v>6267442.3799999999</v>
      </c>
      <c r="AP2" s="253">
        <v>2217</v>
      </c>
      <c r="AQ2" s="253">
        <v>35</v>
      </c>
      <c r="AR2" s="253">
        <v>36622</v>
      </c>
      <c r="AS2" s="253">
        <v>0</v>
      </c>
      <c r="AT2" s="245"/>
      <c r="AU2" s="253" t="s">
        <v>572</v>
      </c>
      <c r="AV2" s="253">
        <v>290217</v>
      </c>
      <c r="AW2" s="253">
        <v>100</v>
      </c>
      <c r="AX2" s="253">
        <v>2</v>
      </c>
      <c r="AY2" s="253">
        <v>2398</v>
      </c>
      <c r="AZ2" s="253">
        <v>0</v>
      </c>
      <c r="BA2" s="245"/>
      <c r="BB2" s="253" t="s">
        <v>572</v>
      </c>
      <c r="BC2" s="253">
        <v>4176558</v>
      </c>
      <c r="BD2" s="253">
        <v>1088</v>
      </c>
      <c r="BE2" s="253">
        <v>20</v>
      </c>
      <c r="BF2" s="253">
        <v>16448</v>
      </c>
      <c r="BG2" s="253">
        <v>0</v>
      </c>
      <c r="BH2" s="247" t="s">
        <v>572</v>
      </c>
      <c r="BI2" s="253">
        <v>0</v>
      </c>
      <c r="BJ2" s="253">
        <v>0</v>
      </c>
      <c r="BK2" s="253">
        <v>0</v>
      </c>
      <c r="BL2" s="253">
        <v>1221</v>
      </c>
      <c r="BM2" s="253">
        <v>0</v>
      </c>
      <c r="BN2" s="253"/>
      <c r="BO2" s="245"/>
      <c r="BP2" s="263">
        <v>1536885314560.0483</v>
      </c>
      <c r="BQ2" s="263">
        <v>29274864</v>
      </c>
      <c r="BR2" s="263">
        <v>1082861</v>
      </c>
      <c r="BS2" s="245"/>
      <c r="BT2" s="265" t="s">
        <v>139</v>
      </c>
      <c r="BU2" s="265">
        <v>44</v>
      </c>
      <c r="BV2" s="265">
        <v>0</v>
      </c>
      <c r="BW2" s="265">
        <v>1</v>
      </c>
      <c r="BX2" s="265">
        <v>0</v>
      </c>
      <c r="BY2" s="265">
        <v>0</v>
      </c>
      <c r="BZ2" s="265">
        <v>43</v>
      </c>
      <c r="CA2" s="265">
        <v>34</v>
      </c>
      <c r="CB2" s="265">
        <v>10</v>
      </c>
      <c r="CC2" s="245"/>
      <c r="CD2" s="269">
        <v>907</v>
      </c>
      <c r="CE2" s="269">
        <v>16556240594200.182</v>
      </c>
      <c r="CF2" s="245"/>
      <c r="CG2" s="265">
        <v>2019</v>
      </c>
      <c r="CH2" s="265">
        <v>20</v>
      </c>
      <c r="CI2" s="245"/>
      <c r="CJ2" s="247" t="s">
        <v>637</v>
      </c>
      <c r="CK2" s="247">
        <v>852197697850</v>
      </c>
      <c r="CL2" s="247"/>
      <c r="CM2" s="247" t="s">
        <v>637</v>
      </c>
      <c r="CN2" s="247">
        <v>2154924492958</v>
      </c>
      <c r="CO2" s="247"/>
      <c r="CP2" s="247" t="s">
        <v>637</v>
      </c>
      <c r="CQ2" s="247">
        <v>44587087620</v>
      </c>
      <c r="CR2" s="245"/>
      <c r="CS2" s="277">
        <v>2019</v>
      </c>
      <c r="CT2" s="275">
        <v>23</v>
      </c>
      <c r="CU2" s="275" t="s">
        <v>651</v>
      </c>
      <c r="CV2" s="275">
        <v>0</v>
      </c>
      <c r="CW2" s="275">
        <v>8701674987</v>
      </c>
      <c r="CX2" s="275">
        <v>1499</v>
      </c>
      <c r="CY2" s="275">
        <v>0</v>
      </c>
      <c r="CZ2" s="275">
        <v>65931769979</v>
      </c>
      <c r="DA2" s="275">
        <v>818</v>
      </c>
      <c r="DB2" s="275">
        <v>0</v>
      </c>
      <c r="DC2" s="275">
        <v>57230094992</v>
      </c>
      <c r="DD2" s="275">
        <v>681</v>
      </c>
      <c r="DG2" s="346" t="s">
        <v>661</v>
      </c>
      <c r="DH2" s="344">
        <v>4214442241.4099998</v>
      </c>
      <c r="DJ2" s="350" t="s">
        <v>665</v>
      </c>
      <c r="DK2" s="348">
        <v>773074308.35000002</v>
      </c>
      <c r="DM2" s="349" t="s">
        <v>665</v>
      </c>
      <c r="DN2" s="351">
        <v>1288745345.5799999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545</v>
      </c>
      <c r="L3" s="234" t="s">
        <v>544</v>
      </c>
      <c r="M3" s="238">
        <v>224892273096.62228</v>
      </c>
      <c r="N3" s="136"/>
      <c r="O3" s="239"/>
      <c r="P3" s="239"/>
      <c r="Q3" s="239"/>
      <c r="S3" s="253" t="s">
        <v>451</v>
      </c>
      <c r="T3" s="258">
        <v>62479111.18</v>
      </c>
      <c r="U3" s="258">
        <v>35133</v>
      </c>
      <c r="V3" s="258">
        <v>112</v>
      </c>
      <c r="W3" s="258">
        <v>0</v>
      </c>
      <c r="X3" s="258">
        <v>0</v>
      </c>
      <c r="Y3" s="245"/>
      <c r="Z3" s="253" t="s">
        <v>573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573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573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616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616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629</v>
      </c>
      <c r="BU3" s="265">
        <v>1</v>
      </c>
      <c r="BV3" s="265">
        <v>0</v>
      </c>
      <c r="BW3" s="265">
        <v>0</v>
      </c>
      <c r="BX3" s="265">
        <v>0</v>
      </c>
      <c r="BY3" s="265">
        <v>0</v>
      </c>
      <c r="BZ3" s="265">
        <v>1</v>
      </c>
      <c r="CA3" s="265">
        <v>1</v>
      </c>
      <c r="CB3" s="265">
        <v>0</v>
      </c>
      <c r="CC3" s="245"/>
      <c r="CD3" s="245"/>
      <c r="CE3" s="245"/>
      <c r="CF3" s="245"/>
      <c r="CG3" s="265">
        <v>2018</v>
      </c>
      <c r="CH3" s="265">
        <v>19</v>
      </c>
      <c r="CI3" s="245"/>
      <c r="CJ3" s="247" t="s">
        <v>638</v>
      </c>
      <c r="CK3" s="247">
        <v>867021511505.31006</v>
      </c>
      <c r="CL3" s="247"/>
      <c r="CM3" s="247" t="s">
        <v>638</v>
      </c>
      <c r="CN3" s="247">
        <v>2151060015155.45</v>
      </c>
      <c r="CO3" s="247"/>
      <c r="CP3" s="247" t="s">
        <v>638</v>
      </c>
      <c r="CQ3" s="247">
        <v>14469717614.799999</v>
      </c>
      <c r="CR3" s="245"/>
      <c r="CS3" s="277">
        <v>2019</v>
      </c>
      <c r="CT3" s="275">
        <v>29</v>
      </c>
      <c r="CU3" s="275" t="s">
        <v>652</v>
      </c>
      <c r="CV3" s="275">
        <v>171316373952.44977</v>
      </c>
      <c r="CW3" s="275">
        <v>187739113000</v>
      </c>
      <c r="CX3" s="275">
        <v>2060</v>
      </c>
      <c r="CY3" s="275">
        <v>323229244713.27997</v>
      </c>
      <c r="CZ3" s="275">
        <v>340331400000</v>
      </c>
      <c r="DA3" s="275">
        <v>1614</v>
      </c>
      <c r="DB3" s="275">
        <v>151912870760.83005</v>
      </c>
      <c r="DC3" s="275">
        <v>152592287000</v>
      </c>
      <c r="DD3" s="275">
        <v>446</v>
      </c>
      <c r="DG3" s="346" t="s">
        <v>662</v>
      </c>
      <c r="DH3" s="344">
        <v>7693294.9199999999</v>
      </c>
      <c r="DJ3" s="350" t="s">
        <v>661</v>
      </c>
      <c r="DK3" s="348">
        <v>5650433034.4899998</v>
      </c>
      <c r="DM3" s="349" t="s">
        <v>661</v>
      </c>
      <c r="DN3" s="351">
        <v>8629418931.6399994</v>
      </c>
    </row>
    <row r="4" spans="1:118" x14ac:dyDescent="0.2">
      <c r="A4" s="148" t="s">
        <v>211</v>
      </c>
      <c r="B4" s="188" t="s">
        <v>538</v>
      </c>
      <c r="C4" s="188" t="s">
        <v>539</v>
      </c>
      <c r="D4" s="188" t="s">
        <v>540</v>
      </c>
      <c r="E4" s="209"/>
      <c r="F4" s="211" t="s">
        <v>540</v>
      </c>
      <c r="G4" s="211" t="s">
        <v>538</v>
      </c>
      <c r="H4" s="211" t="s">
        <v>539</v>
      </c>
      <c r="J4" s="152" t="str">
        <f t="shared" si="0"/>
        <v>ASell</v>
      </c>
      <c r="K4" s="234" t="s">
        <v>543</v>
      </c>
      <c r="L4" s="234" t="s">
        <v>546</v>
      </c>
      <c r="M4" s="238">
        <v>130169060004.58521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451</v>
      </c>
      <c r="T4" s="258">
        <v>2784163074.1560001</v>
      </c>
      <c r="U4" s="258">
        <v>204622</v>
      </c>
      <c r="V4" s="258">
        <v>275</v>
      </c>
      <c r="W4" s="258">
        <v>0</v>
      </c>
      <c r="X4" s="258">
        <v>1</v>
      </c>
      <c r="Y4" s="245"/>
      <c r="Z4" s="253" t="s">
        <v>574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574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574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573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573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566</v>
      </c>
      <c r="BQ4" s="264" t="s">
        <v>567</v>
      </c>
      <c r="BR4" s="264" t="s">
        <v>568</v>
      </c>
      <c r="BS4" s="245"/>
      <c r="BT4" s="265" t="s">
        <v>630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633</v>
      </c>
      <c r="CE4" s="270" t="s">
        <v>634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2019</v>
      </c>
      <c r="CT4" s="275">
        <v>28</v>
      </c>
      <c r="CU4" s="275" t="s">
        <v>653</v>
      </c>
      <c r="CV4" s="275">
        <v>-168056163857.62979</v>
      </c>
      <c r="CW4" s="275">
        <v>-185042913000</v>
      </c>
      <c r="CX4" s="275">
        <v>1989</v>
      </c>
      <c r="CY4" s="275">
        <v>144901519516.78006</v>
      </c>
      <c r="CZ4" s="275">
        <v>145358787000</v>
      </c>
      <c r="DA4" s="275">
        <v>416</v>
      </c>
      <c r="DB4" s="275">
        <v>312957683374.41016</v>
      </c>
      <c r="DC4" s="275">
        <v>330401700000</v>
      </c>
      <c r="DD4" s="275">
        <v>1573</v>
      </c>
      <c r="DG4" s="346" t="s">
        <v>663</v>
      </c>
      <c r="DH4" s="344">
        <v>56818326.259999998</v>
      </c>
      <c r="DJ4" s="350" t="s">
        <v>662</v>
      </c>
      <c r="DK4" s="348">
        <v>9419719984.0599995</v>
      </c>
      <c r="DM4" s="349" t="s">
        <v>662</v>
      </c>
      <c r="DN4" s="351">
        <v>2639659716.6599998</v>
      </c>
    </row>
    <row r="5" spans="1:118" x14ac:dyDescent="0.2">
      <c r="B5" s="188">
        <v>25428600584</v>
      </c>
      <c r="C5" s="188">
        <v>1573386697369.5334</v>
      </c>
      <c r="D5" s="194">
        <v>22995953</v>
      </c>
      <c r="E5" s="209"/>
      <c r="F5" s="211">
        <v>4281</v>
      </c>
      <c r="G5" s="211">
        <v>2404859980</v>
      </c>
      <c r="H5" s="225">
        <v>80774628094.068359</v>
      </c>
      <c r="J5" s="152" t="str">
        <f t="shared" si="0"/>
        <v>PSell</v>
      </c>
      <c r="K5" s="234" t="s">
        <v>545</v>
      </c>
      <c r="L5" s="234" t="s">
        <v>546</v>
      </c>
      <c r="M5" s="238">
        <v>221476839699.3566</v>
      </c>
      <c r="N5" s="136"/>
      <c r="O5" s="241">
        <v>303570718992.32001</v>
      </c>
      <c r="P5" s="241">
        <v>-330512548263.39001</v>
      </c>
      <c r="Q5" s="241">
        <v>-26941829271.07</v>
      </c>
      <c r="S5" s="253" t="s">
        <v>448</v>
      </c>
      <c r="T5" s="258">
        <v>31267932</v>
      </c>
      <c r="U5" s="258">
        <v>151012</v>
      </c>
      <c r="V5" s="258">
        <v>3266</v>
      </c>
      <c r="W5" s="258">
        <v>0</v>
      </c>
      <c r="X5" s="258">
        <v>1</v>
      </c>
      <c r="Y5" s="245"/>
      <c r="Z5" s="253" t="s">
        <v>575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575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575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574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574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13195341236.530001</v>
      </c>
      <c r="BQ5" s="263">
        <v>4386527</v>
      </c>
      <c r="BR5" s="263">
        <v>4570</v>
      </c>
      <c r="BS5" s="245"/>
      <c r="BT5" s="265" t="s">
        <v>631</v>
      </c>
      <c r="BU5" s="265">
        <v>314</v>
      </c>
      <c r="BV5" s="265">
        <v>0</v>
      </c>
      <c r="BW5" s="265">
        <v>1</v>
      </c>
      <c r="BX5" s="265">
        <v>0</v>
      </c>
      <c r="BY5" s="265">
        <v>0</v>
      </c>
      <c r="BZ5" s="265">
        <v>313</v>
      </c>
      <c r="CA5" s="265">
        <v>252</v>
      </c>
      <c r="CB5" s="265">
        <v>62</v>
      </c>
      <c r="CC5" s="245"/>
      <c r="CD5" s="271">
        <v>833</v>
      </c>
      <c r="CE5" s="271">
        <v>14687072285868.75</v>
      </c>
      <c r="CF5" s="267" t="s">
        <v>508</v>
      </c>
      <c r="CG5" s="266" t="s">
        <v>6</v>
      </c>
      <c r="CH5" s="266" t="s">
        <v>635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2019</v>
      </c>
      <c r="CT5" s="275">
        <v>252</v>
      </c>
      <c r="CU5" s="275" t="s">
        <v>654</v>
      </c>
      <c r="CV5" s="275">
        <v>-13727930118.210001</v>
      </c>
      <c r="CW5" s="275">
        <v>-13427425148</v>
      </c>
      <c r="CX5" s="275">
        <v>3313</v>
      </c>
      <c r="CY5" s="275">
        <v>35437424015.689972</v>
      </c>
      <c r="CZ5" s="275">
        <v>33948388888</v>
      </c>
      <c r="DA5" s="275">
        <v>1584</v>
      </c>
      <c r="DB5" s="275">
        <v>49165354133.900108</v>
      </c>
      <c r="DC5" s="275">
        <v>47375814036</v>
      </c>
      <c r="DD5" s="275">
        <v>1729</v>
      </c>
      <c r="DG5" s="346" t="s">
        <v>664</v>
      </c>
      <c r="DH5" s="344">
        <v>467162596.56</v>
      </c>
      <c r="DJ5" s="350" t="s">
        <v>663</v>
      </c>
      <c r="DK5" s="348">
        <v>66615316.259999998</v>
      </c>
      <c r="DM5" s="349" t="s">
        <v>663</v>
      </c>
      <c r="DN5" s="351">
        <v>281769891.56999999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182</v>
      </c>
      <c r="T6" s="258">
        <v>83582427.575000003</v>
      </c>
      <c r="U6" s="258">
        <v>1006173</v>
      </c>
      <c r="V6" s="258">
        <v>231</v>
      </c>
      <c r="W6" s="258">
        <v>0</v>
      </c>
      <c r="X6" s="258">
        <v>1</v>
      </c>
      <c r="Y6" s="245"/>
      <c r="Z6" s="253" t="s">
        <v>576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576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576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575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575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632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2019</v>
      </c>
      <c r="CH6" s="265">
        <v>82</v>
      </c>
      <c r="CI6" s="267" t="s">
        <v>510</v>
      </c>
      <c r="CJ6" s="247" t="s">
        <v>117</v>
      </c>
      <c r="CK6" s="247">
        <v>93207</v>
      </c>
      <c r="CL6" s="267" t="s">
        <v>513</v>
      </c>
      <c r="CM6" s="247" t="s">
        <v>117</v>
      </c>
      <c r="CN6" s="247">
        <v>59465</v>
      </c>
      <c r="CO6" s="267" t="s">
        <v>516</v>
      </c>
      <c r="CP6" s="247" t="s">
        <v>117</v>
      </c>
      <c r="CQ6" s="247">
        <v>2974</v>
      </c>
      <c r="CR6" s="245"/>
      <c r="CS6" s="277">
        <v>2019</v>
      </c>
      <c r="CT6" s="275">
        <v>117</v>
      </c>
      <c r="CU6" s="275" t="s">
        <v>655</v>
      </c>
      <c r="CV6" s="275">
        <v>35549825885.419945</v>
      </c>
      <c r="CW6" s="275">
        <v>37841323411</v>
      </c>
      <c r="CX6" s="275">
        <v>9916</v>
      </c>
      <c r="CY6" s="275">
        <v>350754794937.78058</v>
      </c>
      <c r="CZ6" s="275">
        <v>345443827622</v>
      </c>
      <c r="DA6" s="275">
        <v>5157</v>
      </c>
      <c r="DB6" s="275">
        <v>315204969052.35992</v>
      </c>
      <c r="DC6" s="275">
        <v>307602504211</v>
      </c>
      <c r="DD6" s="275">
        <v>4759</v>
      </c>
      <c r="DG6" s="346"/>
      <c r="DH6" s="344"/>
      <c r="DJ6" s="350" t="s">
        <v>664</v>
      </c>
      <c r="DK6" s="348">
        <v>1658644803.1199999</v>
      </c>
      <c r="DM6" s="349" t="s">
        <v>664</v>
      </c>
      <c r="DN6" s="351">
        <v>1328859327.4100001</v>
      </c>
    </row>
    <row r="7" spans="1:118" x14ac:dyDescent="0.2">
      <c r="A7" s="148" t="s">
        <v>212</v>
      </c>
      <c r="B7" s="188" t="s">
        <v>538</v>
      </c>
      <c r="C7" s="188" t="s">
        <v>539</v>
      </c>
      <c r="D7" s="188" t="s">
        <v>540</v>
      </c>
      <c r="E7" s="209"/>
      <c r="F7" s="211" t="s">
        <v>540</v>
      </c>
      <c r="G7" s="211" t="s">
        <v>538</v>
      </c>
      <c r="H7" s="211" t="s">
        <v>539</v>
      </c>
      <c r="I7" s="153" t="s">
        <v>219</v>
      </c>
      <c r="J7" s="148" t="s">
        <v>220</v>
      </c>
      <c r="K7" s="235" t="s">
        <v>541</v>
      </c>
      <c r="L7" s="235" t="s">
        <v>542</v>
      </c>
      <c r="M7" s="237" t="s">
        <v>539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446</v>
      </c>
      <c r="T7" s="258">
        <v>1515746496.95</v>
      </c>
      <c r="U7" s="258">
        <v>446853</v>
      </c>
      <c r="V7" s="258">
        <v>644</v>
      </c>
      <c r="W7" s="258">
        <v>0</v>
      </c>
      <c r="X7" s="258">
        <v>0</v>
      </c>
      <c r="Y7" s="245"/>
      <c r="Z7" s="253" t="s">
        <v>577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577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577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576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576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566</v>
      </c>
      <c r="BQ7" s="264" t="s">
        <v>567</v>
      </c>
      <c r="BR7" s="264" t="s">
        <v>568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2018</v>
      </c>
      <c r="CH7" s="265">
        <v>81</v>
      </c>
      <c r="CI7" s="245"/>
      <c r="CJ7" s="247" t="s">
        <v>637</v>
      </c>
      <c r="CK7" s="247">
        <v>3030574536694</v>
      </c>
      <c r="CL7" s="247"/>
      <c r="CM7" s="247" t="s">
        <v>637</v>
      </c>
      <c r="CN7" s="247">
        <v>8144444798453</v>
      </c>
      <c r="CO7" s="247"/>
      <c r="CP7" s="247" t="s">
        <v>637</v>
      </c>
      <c r="CQ7" s="247">
        <v>206106244602</v>
      </c>
      <c r="CR7" s="245"/>
      <c r="CS7" s="277">
        <v>2019</v>
      </c>
      <c r="CT7" s="275">
        <v>17</v>
      </c>
      <c r="CU7" s="275" t="s">
        <v>656</v>
      </c>
      <c r="CV7" s="275">
        <v>-3769476965.7900009</v>
      </c>
      <c r="CW7" s="275">
        <v>-3272816358</v>
      </c>
      <c r="CX7" s="275">
        <v>92</v>
      </c>
      <c r="CY7" s="275">
        <v>3835563093.4899998</v>
      </c>
      <c r="CZ7" s="275">
        <v>4167108278</v>
      </c>
      <c r="DA7" s="275">
        <v>25</v>
      </c>
      <c r="DB7" s="275">
        <v>7605040059.2799997</v>
      </c>
      <c r="DC7" s="275">
        <v>7439924636</v>
      </c>
      <c r="DD7" s="275">
        <v>67</v>
      </c>
      <c r="DJ7" s="10" t="s">
        <v>666</v>
      </c>
      <c r="DK7" s="374">
        <v>1161109268</v>
      </c>
      <c r="DM7" s="10" t="s">
        <v>666</v>
      </c>
      <c r="DN7" s="374">
        <v>1495234399.8299999</v>
      </c>
    </row>
    <row r="8" spans="1:118" x14ac:dyDescent="0.2">
      <c r="B8" s="188">
        <v>28627499025</v>
      </c>
      <c r="C8" s="188">
        <v>1979115171716.0715</v>
      </c>
      <c r="D8" s="194">
        <v>22373028</v>
      </c>
      <c r="E8" s="209"/>
      <c r="F8" s="211">
        <v>10281</v>
      </c>
      <c r="G8" s="211">
        <v>3088876337</v>
      </c>
      <c r="H8" s="225">
        <v>135724681604.01151</v>
      </c>
      <c r="J8" s="152" t="str">
        <f>K8&amp;L8</f>
        <v>ABuy</v>
      </c>
      <c r="K8" s="234" t="s">
        <v>543</v>
      </c>
      <c r="L8" s="234" t="s">
        <v>544</v>
      </c>
      <c r="M8" s="238">
        <v>173032160530.75076</v>
      </c>
      <c r="O8" s="244">
        <v>433709415386.21997</v>
      </c>
      <c r="P8" s="244">
        <v>-401911377213.84998</v>
      </c>
      <c r="Q8" s="241">
        <v>31798038172.369999</v>
      </c>
      <c r="S8" s="253" t="s">
        <v>446</v>
      </c>
      <c r="T8" s="258">
        <v>223944243059.88519</v>
      </c>
      <c r="U8" s="258">
        <v>617424</v>
      </c>
      <c r="V8" s="258">
        <v>202702</v>
      </c>
      <c r="W8" s="258">
        <v>0</v>
      </c>
      <c r="X8" s="258">
        <v>1</v>
      </c>
      <c r="Y8" s="245"/>
      <c r="Z8" s="253" t="s">
        <v>578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578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578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577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577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1850910651556.0752</v>
      </c>
      <c r="BQ8" s="263">
        <v>39998149</v>
      </c>
      <c r="BR8" s="263">
        <v>1064889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634</v>
      </c>
      <c r="CE8" s="266" t="s">
        <v>636</v>
      </c>
      <c r="CF8" s="245"/>
      <c r="CG8" s="245"/>
      <c r="CH8" s="245"/>
      <c r="CI8" s="245"/>
      <c r="CJ8" s="247" t="s">
        <v>638</v>
      </c>
      <c r="CK8" s="247">
        <v>3059073025090.9893</v>
      </c>
      <c r="CL8" s="247"/>
      <c r="CM8" s="247" t="s">
        <v>638</v>
      </c>
      <c r="CN8" s="247">
        <v>7905727509524.5908</v>
      </c>
      <c r="CO8" s="247"/>
      <c r="CP8" s="247" t="s">
        <v>638</v>
      </c>
      <c r="CQ8" s="247">
        <v>75657879428.080002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545</v>
      </c>
      <c r="L9" s="234" t="s">
        <v>544</v>
      </c>
      <c r="M9" s="238">
        <v>295164077549.21503</v>
      </c>
      <c r="N9" s="19"/>
      <c r="O9" s="239"/>
      <c r="P9" s="239"/>
      <c r="Q9" s="239"/>
      <c r="S9" s="253" t="s">
        <v>449</v>
      </c>
      <c r="T9" s="258">
        <v>228311811.62099999</v>
      </c>
      <c r="U9" s="258">
        <v>340844</v>
      </c>
      <c r="V9" s="258">
        <v>25</v>
      </c>
      <c r="W9" s="258">
        <v>0</v>
      </c>
      <c r="X9" s="258">
        <v>1</v>
      </c>
      <c r="Y9" s="245"/>
      <c r="Z9" s="253" t="s">
        <v>579</v>
      </c>
      <c r="AA9" s="253">
        <v>2510900</v>
      </c>
      <c r="AB9" s="253">
        <v>250</v>
      </c>
      <c r="AC9" s="253">
        <v>3</v>
      </c>
      <c r="AD9" s="253">
        <v>2480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154</v>
      </c>
      <c r="AL9" s="253">
        <v>0</v>
      </c>
      <c r="AM9" s="245"/>
      <c r="AN9" s="253" t="s">
        <v>579</v>
      </c>
      <c r="AO9" s="253">
        <v>43408</v>
      </c>
      <c r="AP9" s="253">
        <v>4</v>
      </c>
      <c r="AQ9" s="253">
        <v>2</v>
      </c>
      <c r="AR9" s="253">
        <v>48</v>
      </c>
      <c r="AS9" s="253">
        <v>0</v>
      </c>
      <c r="AT9" s="245"/>
      <c r="AU9" s="253" t="s">
        <v>579</v>
      </c>
      <c r="AV9" s="253">
        <v>0</v>
      </c>
      <c r="AW9" s="253">
        <v>0</v>
      </c>
      <c r="AX9" s="253">
        <v>0</v>
      </c>
      <c r="AY9" s="253">
        <v>4</v>
      </c>
      <c r="AZ9" s="253">
        <v>0</v>
      </c>
      <c r="BA9" s="245"/>
      <c r="BB9" s="253" t="s">
        <v>578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578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620</v>
      </c>
      <c r="BU9" s="266" t="s">
        <v>621</v>
      </c>
      <c r="BV9" s="266" t="s">
        <v>622</v>
      </c>
      <c r="BW9" s="266" t="s">
        <v>623</v>
      </c>
      <c r="BX9" s="266" t="s">
        <v>624</v>
      </c>
      <c r="BY9" s="266" t="s">
        <v>625</v>
      </c>
      <c r="BZ9" s="266" t="s">
        <v>626</v>
      </c>
      <c r="CA9" s="266" t="s">
        <v>627</v>
      </c>
      <c r="CB9" s="266" t="s">
        <v>628</v>
      </c>
      <c r="CC9" s="245"/>
      <c r="CD9" s="269">
        <v>282839512483971.94</v>
      </c>
      <c r="CE9" s="272">
        <v>347604972130.96722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543</v>
      </c>
      <c r="L10" s="234" t="s">
        <v>546</v>
      </c>
      <c r="M10" s="238">
        <v>178674669163.97723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450</v>
      </c>
      <c r="T10" s="258">
        <v>0</v>
      </c>
      <c r="U10" s="258">
        <v>323397</v>
      </c>
      <c r="V10" s="258">
        <v>25</v>
      </c>
      <c r="W10" s="258">
        <v>0</v>
      </c>
      <c r="X10" s="258">
        <v>1</v>
      </c>
      <c r="Y10" s="245"/>
      <c r="Z10" s="253" t="s">
        <v>580</v>
      </c>
      <c r="AA10" s="253">
        <v>0</v>
      </c>
      <c r="AB10" s="253">
        <v>0</v>
      </c>
      <c r="AC10" s="253">
        <v>0</v>
      </c>
      <c r="AD10" s="253">
        <v>0</v>
      </c>
      <c r="AE10" s="253">
        <v>0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0</v>
      </c>
      <c r="AL10" s="253">
        <v>0</v>
      </c>
      <c r="AM10" s="245"/>
      <c r="AN10" s="253" t="s">
        <v>580</v>
      </c>
      <c r="AO10" s="253">
        <v>0</v>
      </c>
      <c r="AP10" s="253">
        <v>0</v>
      </c>
      <c r="AQ10" s="253">
        <v>0</v>
      </c>
      <c r="AR10" s="253">
        <v>0</v>
      </c>
      <c r="AS10" s="253">
        <v>0</v>
      </c>
      <c r="AT10" s="245"/>
      <c r="AU10" s="253" t="s">
        <v>580</v>
      </c>
      <c r="AV10" s="253">
        <v>0</v>
      </c>
      <c r="AW10" s="253">
        <v>0</v>
      </c>
      <c r="AX10" s="253">
        <v>0</v>
      </c>
      <c r="AY10" s="253">
        <v>0</v>
      </c>
      <c r="AZ10" s="253">
        <v>0</v>
      </c>
      <c r="BA10" s="245"/>
      <c r="BB10" s="253" t="s">
        <v>579</v>
      </c>
      <c r="BC10" s="253">
        <v>0</v>
      </c>
      <c r="BD10" s="253">
        <v>0</v>
      </c>
      <c r="BE10" s="253">
        <v>0</v>
      </c>
      <c r="BF10" s="253">
        <v>0</v>
      </c>
      <c r="BG10" s="253">
        <v>0</v>
      </c>
      <c r="BH10" s="247" t="s">
        <v>579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566</v>
      </c>
      <c r="BQ10" s="264" t="s">
        <v>567</v>
      </c>
      <c r="BR10" s="264" t="s">
        <v>568</v>
      </c>
      <c r="BS10" s="245"/>
      <c r="BT10" s="265" t="s">
        <v>139</v>
      </c>
      <c r="BU10" s="265">
        <v>44</v>
      </c>
      <c r="BV10" s="265">
        <v>0</v>
      </c>
      <c r="BW10" s="265">
        <v>3</v>
      </c>
      <c r="BX10" s="265">
        <v>0</v>
      </c>
      <c r="BY10" s="265">
        <v>1</v>
      </c>
      <c r="BZ10" s="265">
        <v>42</v>
      </c>
      <c r="CA10" s="265">
        <v>34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545</v>
      </c>
      <c r="L11" s="234" t="s">
        <v>546</v>
      </c>
      <c r="M11" s="238">
        <v>289521568915.98859</v>
      </c>
      <c r="N11" s="156"/>
      <c r="O11" s="342">
        <v>969468452821</v>
      </c>
      <c r="P11" s="342">
        <v>-970485061219</v>
      </c>
      <c r="Q11" s="342">
        <v>-1016608398</v>
      </c>
      <c r="S11" s="253" t="s">
        <v>447</v>
      </c>
      <c r="T11" s="258">
        <v>576363996.87</v>
      </c>
      <c r="U11" s="258">
        <v>215655</v>
      </c>
      <c r="V11" s="258">
        <v>289</v>
      </c>
      <c r="W11" s="258">
        <v>0</v>
      </c>
      <c r="X11" s="258">
        <v>0</v>
      </c>
      <c r="Y11" s="245"/>
      <c r="Z11" s="253" t="s">
        <v>581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581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581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580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580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11984085010.940001</v>
      </c>
      <c r="BQ11" s="263">
        <v>5902407</v>
      </c>
      <c r="BR11" s="263">
        <v>3988</v>
      </c>
      <c r="BS11" s="245"/>
      <c r="BT11" s="265" t="s">
        <v>629</v>
      </c>
      <c r="BU11" s="265">
        <v>1</v>
      </c>
      <c r="BV11" s="265">
        <v>0</v>
      </c>
      <c r="BW11" s="265">
        <v>0</v>
      </c>
      <c r="BX11" s="265">
        <v>0</v>
      </c>
      <c r="BY11" s="265">
        <v>0</v>
      </c>
      <c r="BZ11" s="265">
        <v>1</v>
      </c>
      <c r="CA11" s="265">
        <v>1</v>
      </c>
      <c r="CB11" s="265">
        <v>0</v>
      </c>
      <c r="CC11" s="267" t="s">
        <v>505</v>
      </c>
      <c r="CD11" s="266" t="s">
        <v>634</v>
      </c>
      <c r="CE11" s="266" t="s">
        <v>636</v>
      </c>
      <c r="CF11" s="245"/>
      <c r="CG11" s="245"/>
      <c r="CH11" s="245"/>
      <c r="CI11" s="267" t="s">
        <v>511</v>
      </c>
      <c r="CJ11" s="247" t="s">
        <v>117</v>
      </c>
      <c r="CK11" s="247">
        <v>100273</v>
      </c>
      <c r="CL11" s="267" t="s">
        <v>514</v>
      </c>
      <c r="CM11" s="247" t="s">
        <v>117</v>
      </c>
      <c r="CN11" s="247">
        <v>49908</v>
      </c>
      <c r="CO11" s="267" t="s">
        <v>517</v>
      </c>
      <c r="CP11" s="247" t="s">
        <v>117</v>
      </c>
      <c r="CQ11" s="247">
        <v>2881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447</v>
      </c>
      <c r="T12" s="258">
        <v>7303295802.3999996</v>
      </c>
      <c r="U12" s="258">
        <v>196793</v>
      </c>
      <c r="V12" s="258">
        <v>3386</v>
      </c>
      <c r="W12" s="258">
        <v>0</v>
      </c>
      <c r="X12" s="258">
        <v>1</v>
      </c>
      <c r="Y12" s="245"/>
      <c r="Z12" s="253" t="s">
        <v>582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582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582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581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581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630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1094426077700586.7</v>
      </c>
      <c r="CE12" s="272">
        <v>1550371129629.0273</v>
      </c>
      <c r="CF12" s="245"/>
      <c r="CG12" s="245"/>
      <c r="CH12" s="245"/>
      <c r="CI12" s="247"/>
      <c r="CJ12" s="247" t="s">
        <v>637</v>
      </c>
      <c r="CK12" s="247">
        <v>3153078505172</v>
      </c>
      <c r="CL12" s="247"/>
      <c r="CM12" s="247" t="s">
        <v>637</v>
      </c>
      <c r="CN12" s="247">
        <v>6363354717603</v>
      </c>
      <c r="CO12" s="247"/>
      <c r="CP12" s="247" t="s">
        <v>637</v>
      </c>
      <c r="CQ12" s="247">
        <v>204420697644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541</v>
      </c>
      <c r="L13" s="235" t="s">
        <v>542</v>
      </c>
      <c r="M13" s="237" t="s">
        <v>539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/>
      <c r="T13" s="258"/>
      <c r="U13" s="258"/>
      <c r="V13" s="258"/>
      <c r="W13" s="258"/>
      <c r="X13" s="258"/>
      <c r="Y13" s="245"/>
      <c r="Z13" s="253" t="s">
        <v>583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583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583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582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582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569</v>
      </c>
      <c r="BQ13" s="263"/>
      <c r="BR13" s="263"/>
      <c r="BS13" s="245"/>
      <c r="BT13" s="265" t="s">
        <v>631</v>
      </c>
      <c r="BU13" s="265">
        <v>314</v>
      </c>
      <c r="BV13" s="265">
        <v>1</v>
      </c>
      <c r="BW13" s="265">
        <v>9</v>
      </c>
      <c r="BX13" s="265">
        <v>1</v>
      </c>
      <c r="BY13" s="265">
        <v>0</v>
      </c>
      <c r="BZ13" s="265">
        <v>305</v>
      </c>
      <c r="CA13" s="265">
        <v>252</v>
      </c>
      <c r="CB13" s="265">
        <v>62</v>
      </c>
      <c r="CC13" s="245"/>
      <c r="CD13" s="245"/>
      <c r="CE13" s="245"/>
      <c r="CF13" s="245"/>
      <c r="CG13" s="245"/>
      <c r="CH13" s="245"/>
      <c r="CI13" s="247"/>
      <c r="CJ13" s="247" t="s">
        <v>638</v>
      </c>
      <c r="CK13" s="247">
        <v>3293464170111.6602</v>
      </c>
      <c r="CL13" s="247"/>
      <c r="CM13" s="247" t="s">
        <v>638</v>
      </c>
      <c r="CN13" s="247">
        <v>6488039289630.6875</v>
      </c>
      <c r="CO13" s="247"/>
      <c r="CP13" s="247" t="s">
        <v>638</v>
      </c>
      <c r="CQ13" s="247">
        <v>67095978859.550003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543</v>
      </c>
      <c r="L14" s="234" t="s">
        <v>544</v>
      </c>
      <c r="M14" s="238">
        <v>119993830378.63</v>
      </c>
      <c r="N14" s="156"/>
      <c r="O14" s="342">
        <v>784579000000</v>
      </c>
      <c r="P14" s="342">
        <v>-771216000000</v>
      </c>
      <c r="Q14" s="342">
        <v>13363000000</v>
      </c>
      <c r="S14" s="245"/>
      <c r="T14" s="245"/>
      <c r="U14" s="245"/>
      <c r="V14" s="245"/>
      <c r="W14" s="245"/>
      <c r="X14" s="245"/>
      <c r="Y14" s="245"/>
      <c r="Z14" s="253" t="s">
        <v>584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584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584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583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583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8663410</v>
      </c>
      <c r="BQ14" s="263"/>
      <c r="BR14" s="263"/>
      <c r="BS14" s="245"/>
      <c r="BT14" s="265" t="s">
        <v>632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634</v>
      </c>
      <c r="CE14" s="273" t="s">
        <v>636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657</v>
      </c>
      <c r="CT14" s="275" t="s">
        <v>640</v>
      </c>
      <c r="CU14" s="275" t="s">
        <v>641</v>
      </c>
      <c r="CV14" s="275" t="s">
        <v>642</v>
      </c>
      <c r="CW14" s="275" t="s">
        <v>643</v>
      </c>
      <c r="CX14" s="275" t="s">
        <v>644</v>
      </c>
      <c r="CY14" s="275" t="s">
        <v>645</v>
      </c>
      <c r="CZ14" s="275" t="s">
        <v>646</v>
      </c>
      <c r="DA14" s="275" t="s">
        <v>647</v>
      </c>
      <c r="DB14" s="275" t="s">
        <v>648</v>
      </c>
      <c r="DC14" s="275" t="s">
        <v>649</v>
      </c>
      <c r="DD14" s="275" t="s">
        <v>650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545</v>
      </c>
      <c r="L15" s="234" t="s">
        <v>544</v>
      </c>
      <c r="M15" s="238">
        <v>214342203412.31003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585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584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584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1196173764881135</v>
      </c>
      <c r="CE15" s="274">
        <v>1953325650277.2556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658</v>
      </c>
      <c r="CT15" s="275">
        <v>19</v>
      </c>
      <c r="CU15" s="275" t="s">
        <v>651</v>
      </c>
      <c r="CV15" s="275">
        <v>0</v>
      </c>
      <c r="CW15" s="275">
        <v>-877017394</v>
      </c>
      <c r="CX15" s="275">
        <v>377</v>
      </c>
      <c r="CY15" s="275">
        <v>0</v>
      </c>
      <c r="CZ15" s="275">
        <v>13922128057</v>
      </c>
      <c r="DA15" s="275">
        <v>186</v>
      </c>
      <c r="DB15" s="275">
        <v>0</v>
      </c>
      <c r="DC15" s="275">
        <v>14799145451</v>
      </c>
      <c r="DD15" s="275">
        <v>191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543</v>
      </c>
      <c r="L16" s="234" t="s">
        <v>546</v>
      </c>
      <c r="M16" s="238">
        <v>123913894835.55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586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586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586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585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585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569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658</v>
      </c>
      <c r="CT16" s="275">
        <v>27</v>
      </c>
      <c r="CU16" s="275" t="s">
        <v>652</v>
      </c>
      <c r="CV16" s="275">
        <v>-16032666146.830002</v>
      </c>
      <c r="CW16" s="275">
        <v>-15860265000</v>
      </c>
      <c r="CX16" s="275">
        <v>517</v>
      </c>
      <c r="CY16" s="275">
        <v>52312024176.770004</v>
      </c>
      <c r="CZ16" s="275">
        <v>53271700000</v>
      </c>
      <c r="DA16" s="275">
        <v>310</v>
      </c>
      <c r="DB16" s="275">
        <v>68344690323.599998</v>
      </c>
      <c r="DC16" s="275">
        <v>69131965000</v>
      </c>
      <c r="DD16" s="275">
        <v>207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545</v>
      </c>
      <c r="L17" s="234" t="s">
        <v>546</v>
      </c>
      <c r="M17" s="238">
        <v>210422138955.39001</v>
      </c>
      <c r="N17" s="156"/>
      <c r="O17" s="342">
        <v>645668000000</v>
      </c>
      <c r="P17" s="342">
        <v>-645833000000</v>
      </c>
      <c r="Q17" s="342">
        <v>-165000000</v>
      </c>
      <c r="R17" s="153" t="s">
        <v>453</v>
      </c>
      <c r="S17" s="253"/>
      <c r="T17" s="258"/>
      <c r="U17" s="258"/>
      <c r="V17" s="258"/>
      <c r="W17" s="258"/>
      <c r="X17" s="258"/>
      <c r="Y17" s="245"/>
      <c r="Z17" s="253" t="s">
        <v>587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587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587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586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586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2104071</v>
      </c>
      <c r="BQ17" s="263"/>
      <c r="BR17" s="263"/>
      <c r="BS17" s="256" t="s">
        <v>500</v>
      </c>
      <c r="BT17" s="266" t="s">
        <v>620</v>
      </c>
      <c r="BU17" s="266" t="s">
        <v>621</v>
      </c>
      <c r="BV17" s="266" t="s">
        <v>622</v>
      </c>
      <c r="BW17" s="266" t="s">
        <v>623</v>
      </c>
      <c r="BX17" s="266" t="s">
        <v>624</v>
      </c>
      <c r="BY17" s="266" t="s">
        <v>625</v>
      </c>
      <c r="BZ17" s="266" t="s">
        <v>626</v>
      </c>
      <c r="CA17" s="266" t="s">
        <v>627</v>
      </c>
      <c r="CB17" s="266" t="s">
        <v>628</v>
      </c>
      <c r="CC17" s="356" t="s">
        <v>528</v>
      </c>
      <c r="CD17" s="355" t="s">
        <v>634</v>
      </c>
      <c r="CE17" s="355" t="s">
        <v>636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658</v>
      </c>
      <c r="CT17" s="275">
        <v>26</v>
      </c>
      <c r="CU17" s="275" t="s">
        <v>653</v>
      </c>
      <c r="CV17" s="275">
        <v>15102368520.130007</v>
      </c>
      <c r="CW17" s="275">
        <v>14813265000</v>
      </c>
      <c r="CX17" s="275">
        <v>505</v>
      </c>
      <c r="CY17" s="275">
        <v>66805848523.749992</v>
      </c>
      <c r="CZ17" s="275">
        <v>67545965000</v>
      </c>
      <c r="DA17" s="275">
        <v>200</v>
      </c>
      <c r="DB17" s="275">
        <v>51703480003.61998</v>
      </c>
      <c r="DC17" s="275">
        <v>52732700000</v>
      </c>
      <c r="DD17" s="275">
        <v>305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/>
      <c r="T18" s="258"/>
      <c r="U18" s="258"/>
      <c r="V18" s="258"/>
      <c r="W18" s="258"/>
      <c r="X18" s="258"/>
      <c r="Y18" s="245"/>
      <c r="Z18" s="253" t="s">
        <v>588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588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588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587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587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49</v>
      </c>
      <c r="BV18" s="265">
        <v>0</v>
      </c>
      <c r="BW18" s="265">
        <v>4</v>
      </c>
      <c r="BX18" s="265">
        <v>0</v>
      </c>
      <c r="BY18" s="265">
        <v>0</v>
      </c>
      <c r="BZ18" s="265">
        <v>45</v>
      </c>
      <c r="CA18" s="265">
        <v>37</v>
      </c>
      <c r="CB18" s="265">
        <v>12</v>
      </c>
      <c r="CC18" s="353"/>
      <c r="CD18" s="357">
        <v>14127285786518.289</v>
      </c>
      <c r="CE18" s="358">
        <v>19840323363.6059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658</v>
      </c>
      <c r="CT18" s="275">
        <v>131</v>
      </c>
      <c r="CU18" s="275" t="s">
        <v>654</v>
      </c>
      <c r="CV18" s="275">
        <v>-3164512556.7500019</v>
      </c>
      <c r="CW18" s="275">
        <v>-3009653499</v>
      </c>
      <c r="CX18" s="275">
        <v>1248</v>
      </c>
      <c r="CY18" s="275">
        <v>11503747356.299992</v>
      </c>
      <c r="CZ18" s="275">
        <v>11302167086</v>
      </c>
      <c r="DA18" s="275">
        <v>565</v>
      </c>
      <c r="DB18" s="275">
        <v>14668259913.049994</v>
      </c>
      <c r="DC18" s="275">
        <v>14311820585</v>
      </c>
      <c r="DD18" s="275">
        <v>683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541</v>
      </c>
      <c r="L19" s="235" t="s">
        <v>542</v>
      </c>
      <c r="M19" s="237" t="s">
        <v>539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/>
      <c r="T19" s="258"/>
      <c r="U19" s="258"/>
      <c r="V19" s="258"/>
      <c r="W19" s="258"/>
      <c r="X19" s="258"/>
      <c r="Y19" s="245"/>
      <c r="Z19" s="253" t="s">
        <v>589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589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589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588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588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539</v>
      </c>
      <c r="BQ19" s="264" t="s">
        <v>567</v>
      </c>
      <c r="BR19" s="264" t="s">
        <v>568</v>
      </c>
      <c r="BS19" s="245"/>
      <c r="BT19" s="265" t="s">
        <v>629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658</v>
      </c>
      <c r="CT19" s="275">
        <v>39</v>
      </c>
      <c r="CU19" s="275" t="s">
        <v>655</v>
      </c>
      <c r="CV19" s="275">
        <v>11486858481.399994</v>
      </c>
      <c r="CW19" s="275">
        <v>11064707928</v>
      </c>
      <c r="CX19" s="275">
        <v>2734</v>
      </c>
      <c r="CY19" s="275">
        <v>100020404693.03987</v>
      </c>
      <c r="CZ19" s="275">
        <v>96968673456</v>
      </c>
      <c r="DA19" s="275">
        <v>1399</v>
      </c>
      <c r="DB19" s="275">
        <v>88533546211.639908</v>
      </c>
      <c r="DC19" s="275">
        <v>85903965528</v>
      </c>
      <c r="DD19" s="275">
        <v>1335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543</v>
      </c>
      <c r="L20" s="234" t="s">
        <v>544</v>
      </c>
      <c r="M20" s="238">
        <v>157957672624.12</v>
      </c>
      <c r="N20" s="156"/>
      <c r="O20" s="342">
        <v>525050000000</v>
      </c>
      <c r="P20" s="342">
        <v>-528401000000</v>
      </c>
      <c r="Q20" s="342">
        <v>-3351000000</v>
      </c>
      <c r="S20" s="253"/>
      <c r="T20" s="258"/>
      <c r="U20" s="258"/>
      <c r="V20" s="258"/>
      <c r="W20" s="258"/>
      <c r="X20" s="258"/>
      <c r="Y20" s="245"/>
      <c r="Z20" s="253" t="s">
        <v>590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590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591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591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204459471250.00998</v>
      </c>
      <c r="BQ20" s="263">
        <v>1783306</v>
      </c>
      <c r="BR20" s="263">
        <v>1872</v>
      </c>
      <c r="BS20" s="245"/>
      <c r="BT20" s="265" t="s">
        <v>630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6" t="s">
        <v>527</v>
      </c>
      <c r="CD20" s="355" t="s">
        <v>634</v>
      </c>
      <c r="CE20" s="355" t="s">
        <v>636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658</v>
      </c>
      <c r="CT20" s="275">
        <v>6</v>
      </c>
      <c r="CU20" s="275" t="s">
        <v>656</v>
      </c>
      <c r="CV20" s="275">
        <v>123620189.68000004</v>
      </c>
      <c r="CW20" s="275">
        <v>142840000</v>
      </c>
      <c r="CX20" s="275">
        <v>15</v>
      </c>
      <c r="CY20" s="275">
        <v>862002565.03999996</v>
      </c>
      <c r="CZ20" s="275">
        <v>882000000</v>
      </c>
      <c r="DA20" s="275">
        <v>4</v>
      </c>
      <c r="DB20" s="275">
        <v>738382375.36000001</v>
      </c>
      <c r="DC20" s="275">
        <v>739160000</v>
      </c>
      <c r="DD20" s="275">
        <v>11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545</v>
      </c>
      <c r="L21" s="234" t="s">
        <v>544</v>
      </c>
      <c r="M21" s="238">
        <v>285770051645.70001</v>
      </c>
      <c r="O21" s="239"/>
      <c r="P21" s="239"/>
      <c r="Q21" s="239"/>
      <c r="S21" s="253"/>
      <c r="T21" s="258"/>
      <c r="U21" s="258"/>
      <c r="V21" s="258"/>
      <c r="W21" s="258"/>
      <c r="X21" s="258"/>
      <c r="Y21" s="245"/>
      <c r="Z21" s="253" t="s">
        <v>591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591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591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592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592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631</v>
      </c>
      <c r="BU21" s="265">
        <v>319</v>
      </c>
      <c r="BV21" s="265">
        <v>2</v>
      </c>
      <c r="BW21" s="265">
        <v>3</v>
      </c>
      <c r="BX21" s="265">
        <v>0</v>
      </c>
      <c r="BY21" s="265">
        <v>0</v>
      </c>
      <c r="BZ21" s="265">
        <v>318</v>
      </c>
      <c r="CA21" s="265">
        <v>256</v>
      </c>
      <c r="CB21" s="265">
        <v>63</v>
      </c>
      <c r="CC21" s="353"/>
      <c r="CD21" s="357">
        <v>3451182381967229.5</v>
      </c>
      <c r="CE21" s="358">
        <v>5089332295682.2227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543</v>
      </c>
      <c r="L22" s="234" t="s">
        <v>546</v>
      </c>
      <c r="M22" s="238">
        <v>163905248332.57999</v>
      </c>
      <c r="O22" s="239"/>
      <c r="P22" s="239"/>
      <c r="Q22" s="239"/>
      <c r="S22" s="253"/>
      <c r="T22" s="258"/>
      <c r="U22" s="258"/>
      <c r="V22" s="258"/>
      <c r="W22" s="258"/>
      <c r="X22" s="258"/>
      <c r="Y22" s="245"/>
      <c r="Z22" s="253" t="s">
        <v>592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592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592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593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593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539</v>
      </c>
      <c r="BQ22" s="264" t="s">
        <v>567</v>
      </c>
      <c r="BR22" s="264" t="s">
        <v>568</v>
      </c>
      <c r="BS22" s="245"/>
      <c r="BT22" s="245" t="s">
        <v>632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556</v>
      </c>
      <c r="F23" s="227" t="s">
        <v>444</v>
      </c>
      <c r="G23" s="224" t="s">
        <v>226</v>
      </c>
      <c r="H23" s="224" t="s">
        <v>547</v>
      </c>
      <c r="I23" s="165"/>
      <c r="J23" s="152" t="str">
        <f>K23&amp;L23</f>
        <v>PSell</v>
      </c>
      <c r="K23" s="234" t="s">
        <v>545</v>
      </c>
      <c r="L23" s="234" t="s">
        <v>546</v>
      </c>
      <c r="M23" s="238">
        <v>279822475937.23999</v>
      </c>
      <c r="N23" s="163" t="s">
        <v>445</v>
      </c>
      <c r="O23" s="242" t="s">
        <v>226</v>
      </c>
      <c r="P23" s="242" t="s">
        <v>547</v>
      </c>
      <c r="Q23" s="239"/>
      <c r="S23" s="253"/>
      <c r="T23" s="258"/>
      <c r="U23" s="258"/>
      <c r="V23" s="258"/>
      <c r="W23" s="258"/>
      <c r="X23" s="258"/>
      <c r="Y23" s="245"/>
      <c r="Z23" s="253" t="s">
        <v>593</v>
      </c>
      <c r="AA23" s="253">
        <v>0</v>
      </c>
      <c r="AB23" s="253">
        <v>0</v>
      </c>
      <c r="AC23" s="253">
        <v>0</v>
      </c>
      <c r="AD23" s="253">
        <v>0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0</v>
      </c>
      <c r="AL23" s="253">
        <v>0</v>
      </c>
      <c r="AM23" s="245"/>
      <c r="AN23" s="253" t="s">
        <v>593</v>
      </c>
      <c r="AO23" s="253">
        <v>0</v>
      </c>
      <c r="AP23" s="253">
        <v>0</v>
      </c>
      <c r="AQ23" s="253">
        <v>0</v>
      </c>
      <c r="AR23" s="253">
        <v>0</v>
      </c>
      <c r="AS23" s="253">
        <v>0</v>
      </c>
      <c r="AT23" s="245"/>
      <c r="AU23" s="253" t="s">
        <v>593</v>
      </c>
      <c r="AV23" s="253">
        <v>0</v>
      </c>
      <c r="AW23" s="253">
        <v>0</v>
      </c>
      <c r="AX23" s="253">
        <v>0</v>
      </c>
      <c r="AY23" s="253">
        <v>0</v>
      </c>
      <c r="AZ23" s="253">
        <v>0</v>
      </c>
      <c r="BA23" s="245"/>
      <c r="BB23" s="253" t="s">
        <v>594</v>
      </c>
      <c r="BC23" s="253">
        <v>0</v>
      </c>
      <c r="BD23" s="253">
        <v>0</v>
      </c>
      <c r="BE23" s="253">
        <v>0</v>
      </c>
      <c r="BF23" s="253">
        <v>760</v>
      </c>
      <c r="BG23" s="253">
        <v>0</v>
      </c>
      <c r="BH23" s="247" t="s">
        <v>594</v>
      </c>
      <c r="BI23" s="253">
        <v>0</v>
      </c>
      <c r="BJ23" s="253">
        <v>0</v>
      </c>
      <c r="BK23" s="253">
        <v>0</v>
      </c>
      <c r="BL23" s="253">
        <v>40</v>
      </c>
      <c r="BM23" s="253">
        <v>0</v>
      </c>
      <c r="BN23" s="253"/>
      <c r="BO23" s="247"/>
      <c r="BP23" s="263">
        <v>15473152373.299999</v>
      </c>
      <c r="BQ23" s="263">
        <v>143016</v>
      </c>
      <c r="BR23" s="263">
        <v>247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271</v>
      </c>
      <c r="H24" s="223">
        <v>12172.827369660001</v>
      </c>
      <c r="I24" s="164"/>
      <c r="K24" s="231"/>
      <c r="L24" s="228"/>
      <c r="M24" s="228"/>
      <c r="O24" s="241" t="s">
        <v>271</v>
      </c>
      <c r="P24" s="241">
        <v>11868.893903509999</v>
      </c>
      <c r="Q24" s="239"/>
      <c r="S24" s="253"/>
      <c r="T24" s="258"/>
      <c r="U24" s="258"/>
      <c r="V24" s="258"/>
      <c r="W24" s="258"/>
      <c r="X24" s="258"/>
      <c r="Y24" s="245"/>
      <c r="Z24" s="253" t="s">
        <v>594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594</v>
      </c>
      <c r="AO24" s="253">
        <v>44000</v>
      </c>
      <c r="AP24" s="253">
        <v>10</v>
      </c>
      <c r="AQ24" s="253">
        <v>1</v>
      </c>
      <c r="AR24" s="253">
        <v>210</v>
      </c>
      <c r="AS24" s="253">
        <v>0</v>
      </c>
      <c r="AT24" s="245"/>
      <c r="AU24" s="253" t="s">
        <v>594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595</v>
      </c>
      <c r="BC24" s="253">
        <v>0</v>
      </c>
      <c r="BD24" s="253">
        <v>0</v>
      </c>
      <c r="BE24" s="253">
        <v>0</v>
      </c>
      <c r="BF24" s="253">
        <v>0</v>
      </c>
      <c r="BG24" s="253">
        <v>0</v>
      </c>
      <c r="BH24" s="247" t="s">
        <v>595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272</v>
      </c>
      <c r="H25" s="223">
        <v>11427.44782087</v>
      </c>
      <c r="I25" s="164"/>
      <c r="K25" s="231"/>
      <c r="L25" s="228"/>
      <c r="M25" s="228"/>
      <c r="O25" s="241" t="s">
        <v>272</v>
      </c>
      <c r="P25" s="241">
        <v>10878.346901790001</v>
      </c>
      <c r="Q25" s="239"/>
      <c r="S25" s="253"/>
      <c r="T25" s="258"/>
      <c r="U25" s="258"/>
      <c r="V25" s="258"/>
      <c r="W25" s="258"/>
      <c r="X25" s="258"/>
      <c r="Y25" s="245"/>
      <c r="Z25" s="253" t="s">
        <v>595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595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595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598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598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569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273</v>
      </c>
      <c r="H26" s="223">
        <v>23493.399567140001</v>
      </c>
      <c r="I26" s="164"/>
      <c r="J26" s="157"/>
      <c r="K26" s="232"/>
      <c r="L26" s="228"/>
      <c r="M26" s="228"/>
      <c r="O26" s="241" t="s">
        <v>273</v>
      </c>
      <c r="P26" s="241">
        <v>22337.615209399999</v>
      </c>
      <c r="Q26" s="239"/>
      <c r="S26" s="253"/>
      <c r="T26" s="258"/>
      <c r="U26" s="258"/>
      <c r="V26" s="258"/>
      <c r="W26" s="258"/>
      <c r="X26" s="258"/>
      <c r="Y26" s="245"/>
      <c r="Z26" s="253" t="s">
        <v>596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596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596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599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599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1076240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274</v>
      </c>
      <c r="H27" s="223">
        <v>3265.1780576400001</v>
      </c>
      <c r="I27" s="164"/>
      <c r="J27" s="157"/>
      <c r="K27" s="231"/>
      <c r="L27" s="228"/>
      <c r="M27" s="228"/>
      <c r="O27" s="241" t="s">
        <v>274</v>
      </c>
      <c r="P27" s="241">
        <v>3249.2578671000001</v>
      </c>
      <c r="Q27" s="239"/>
      <c r="S27" s="253"/>
      <c r="T27" s="258"/>
      <c r="U27" s="258"/>
      <c r="V27" s="258"/>
      <c r="W27" s="258"/>
      <c r="X27" s="258"/>
      <c r="Y27" s="245"/>
      <c r="Z27" s="253" t="s">
        <v>597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597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600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600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639</v>
      </c>
      <c r="CT27" s="275" t="s">
        <v>640</v>
      </c>
      <c r="CU27" s="275" t="s">
        <v>641</v>
      </c>
      <c r="CV27" s="275" t="s">
        <v>642</v>
      </c>
      <c r="CW27" s="275" t="s">
        <v>643</v>
      </c>
      <c r="CX27" s="275" t="s">
        <v>644</v>
      </c>
      <c r="CY27" s="275" t="s">
        <v>645</v>
      </c>
      <c r="CZ27" s="275" t="s">
        <v>646</v>
      </c>
      <c r="DA27" s="275" t="s">
        <v>647</v>
      </c>
      <c r="DB27" s="275" t="s">
        <v>648</v>
      </c>
      <c r="DC27" s="275" t="s">
        <v>649</v>
      </c>
      <c r="DD27" s="275" t="s">
        <v>650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275</v>
      </c>
      <c r="H28" s="223">
        <v>2996.56047033</v>
      </c>
      <c r="I28" s="164"/>
      <c r="J28" s="157"/>
      <c r="K28" s="231"/>
      <c r="L28" s="233"/>
      <c r="M28" s="236"/>
      <c r="O28" s="241" t="s">
        <v>275</v>
      </c>
      <c r="P28" s="241">
        <v>2926.5082339400001</v>
      </c>
      <c r="Q28" s="239"/>
      <c r="S28" s="245"/>
      <c r="T28" s="245"/>
      <c r="U28" s="245"/>
      <c r="V28" s="245"/>
      <c r="W28" s="245"/>
      <c r="X28" s="245"/>
      <c r="Y28" s="245"/>
      <c r="Z28" s="253" t="s">
        <v>598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598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598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601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601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569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2018</v>
      </c>
      <c r="CT28" s="275">
        <v>27</v>
      </c>
      <c r="CU28" s="275" t="s">
        <v>651</v>
      </c>
      <c r="CV28" s="275">
        <v>0</v>
      </c>
      <c r="CW28" s="275">
        <v>13700575966</v>
      </c>
      <c r="CX28" s="275">
        <v>1514</v>
      </c>
      <c r="CY28" s="275">
        <v>0</v>
      </c>
      <c r="CZ28" s="275">
        <v>71550577157</v>
      </c>
      <c r="DA28" s="275">
        <v>753</v>
      </c>
      <c r="DB28" s="275">
        <v>0</v>
      </c>
      <c r="DC28" s="275">
        <v>57850001191</v>
      </c>
      <c r="DD28" s="275">
        <v>761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93</v>
      </c>
      <c r="H29" s="223">
        <v>3689.5335244299999</v>
      </c>
      <c r="I29" s="164"/>
      <c r="J29" s="157"/>
      <c r="K29" s="231"/>
      <c r="L29" s="228"/>
      <c r="M29" s="228"/>
      <c r="O29" s="241" t="s">
        <v>93</v>
      </c>
      <c r="P29" s="241">
        <v>3661.26530938</v>
      </c>
      <c r="Q29" s="239"/>
      <c r="S29" s="245"/>
      <c r="T29" s="245"/>
      <c r="U29" s="245"/>
      <c r="V29" s="245"/>
      <c r="W29" s="245"/>
      <c r="X29" s="245"/>
      <c r="Y29" s="245"/>
      <c r="Z29" s="253" t="s">
        <v>599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599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599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602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602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163600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2018</v>
      </c>
      <c r="CT29" s="275">
        <v>26</v>
      </c>
      <c r="CU29" s="275" t="s">
        <v>652</v>
      </c>
      <c r="CV29" s="275">
        <v>-416552541530.53961</v>
      </c>
      <c r="CW29" s="275">
        <v>-366590453876</v>
      </c>
      <c r="CX29" s="275">
        <v>2822</v>
      </c>
      <c r="CY29" s="275">
        <v>133930121692.22002</v>
      </c>
      <c r="CZ29" s="275">
        <v>139995605090</v>
      </c>
      <c r="DA29" s="275">
        <v>1186</v>
      </c>
      <c r="DB29" s="275">
        <v>550482663222.75989</v>
      </c>
      <c r="DC29" s="275">
        <v>506586058966</v>
      </c>
      <c r="DD29" s="275">
        <v>1636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63</v>
      </c>
      <c r="H30" s="223">
        <v>1432.6767611800001</v>
      </c>
      <c r="I30" s="164"/>
      <c r="J30" s="157"/>
      <c r="K30" s="231"/>
      <c r="L30" s="228"/>
      <c r="M30" s="228"/>
      <c r="O30" s="241" t="s">
        <v>63</v>
      </c>
      <c r="P30" s="241">
        <v>1551.0124167700001</v>
      </c>
      <c r="Q30" s="239"/>
      <c r="S30" s="254"/>
      <c r="T30" s="257"/>
      <c r="U30" s="257"/>
      <c r="V30" s="257"/>
      <c r="W30" s="257"/>
      <c r="X30" s="257"/>
      <c r="Y30" s="245"/>
      <c r="Z30" s="253" t="s">
        <v>600</v>
      </c>
      <c r="AA30" s="253">
        <v>0</v>
      </c>
      <c r="AB30" s="253">
        <v>0</v>
      </c>
      <c r="AC30" s="253">
        <v>0</v>
      </c>
      <c r="AD30" s="253">
        <v>0</v>
      </c>
      <c r="AE30" s="253">
        <v>0</v>
      </c>
      <c r="AF30" s="253"/>
      <c r="AG30" s="253" t="s">
        <v>600</v>
      </c>
      <c r="AH30" s="253">
        <v>0</v>
      </c>
      <c r="AI30" s="253">
        <v>0</v>
      </c>
      <c r="AJ30" s="253">
        <v>0</v>
      </c>
      <c r="AK30" s="253">
        <v>0</v>
      </c>
      <c r="AL30" s="253">
        <v>0</v>
      </c>
      <c r="AM30" s="245"/>
      <c r="AN30" s="253" t="s">
        <v>600</v>
      </c>
      <c r="AO30" s="253">
        <v>0</v>
      </c>
      <c r="AP30" s="253">
        <v>0</v>
      </c>
      <c r="AQ30" s="253">
        <v>0</v>
      </c>
      <c r="AR30" s="253">
        <v>0</v>
      </c>
      <c r="AS30" s="253">
        <v>0</v>
      </c>
      <c r="AT30" s="245"/>
      <c r="AU30" s="253" t="s">
        <v>600</v>
      </c>
      <c r="AV30" s="253">
        <v>0</v>
      </c>
      <c r="AW30" s="253">
        <v>0</v>
      </c>
      <c r="AX30" s="253">
        <v>0</v>
      </c>
      <c r="AY30" s="253">
        <v>0</v>
      </c>
      <c r="AZ30" s="253">
        <v>0</v>
      </c>
      <c r="BA30" s="245"/>
      <c r="BB30" s="253" t="s">
        <v>603</v>
      </c>
      <c r="BC30" s="253">
        <v>9069452.0600000005</v>
      </c>
      <c r="BD30" s="253">
        <v>1612</v>
      </c>
      <c r="BE30" s="253">
        <v>112</v>
      </c>
      <c r="BF30" s="253">
        <v>69543</v>
      </c>
      <c r="BG30" s="253">
        <v>0</v>
      </c>
      <c r="BH30" s="247" t="s">
        <v>603</v>
      </c>
      <c r="BI30" s="253">
        <v>0</v>
      </c>
      <c r="BJ30" s="253">
        <v>0</v>
      </c>
      <c r="BK30" s="253">
        <v>0</v>
      </c>
      <c r="BL30" s="253">
        <v>1767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2018</v>
      </c>
      <c r="CT30" s="275">
        <v>26</v>
      </c>
      <c r="CU30" s="275" t="s">
        <v>653</v>
      </c>
      <c r="CV30" s="275">
        <v>406844374640.34039</v>
      </c>
      <c r="CW30" s="275">
        <v>357131853876</v>
      </c>
      <c r="CX30" s="275">
        <v>2756</v>
      </c>
      <c r="CY30" s="275">
        <v>537107261926.59009</v>
      </c>
      <c r="CZ30" s="275">
        <v>493438158966</v>
      </c>
      <c r="DA30" s="275">
        <v>1599</v>
      </c>
      <c r="DB30" s="275">
        <v>130262887286.25005</v>
      </c>
      <c r="DC30" s="275">
        <v>136306305090</v>
      </c>
      <c r="DD30" s="275">
        <v>1157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276</v>
      </c>
      <c r="H31" s="223">
        <v>22570.109794079999</v>
      </c>
      <c r="I31" s="164"/>
      <c r="J31" s="158"/>
      <c r="K31" s="229"/>
      <c r="L31" s="228"/>
      <c r="M31" s="228"/>
      <c r="O31" s="241" t="s">
        <v>276</v>
      </c>
      <c r="P31" s="241">
        <v>22711.060703229999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601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601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601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604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604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539</v>
      </c>
      <c r="BQ31" s="264" t="s">
        <v>567</v>
      </c>
      <c r="BR31" s="264" t="s">
        <v>568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2018</v>
      </c>
      <c r="CT31" s="275">
        <v>194</v>
      </c>
      <c r="CU31" s="275" t="s">
        <v>654</v>
      </c>
      <c r="CV31" s="275">
        <v>-9441581126.5799828</v>
      </c>
      <c r="CW31" s="275">
        <v>-9757153502</v>
      </c>
      <c r="CX31" s="275">
        <v>2654</v>
      </c>
      <c r="CY31" s="275">
        <v>47509922307.599976</v>
      </c>
      <c r="CZ31" s="275">
        <v>44644633294</v>
      </c>
      <c r="DA31" s="275">
        <v>1448</v>
      </c>
      <c r="DB31" s="275">
        <v>56951503434.179939</v>
      </c>
      <c r="DC31" s="275">
        <v>54401786796</v>
      </c>
      <c r="DD31" s="275">
        <v>1206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106</v>
      </c>
      <c r="H32" s="223">
        <v>31.58652554</v>
      </c>
      <c r="I32" s="164"/>
      <c r="J32" s="157"/>
      <c r="K32" s="229"/>
      <c r="L32" s="228"/>
      <c r="M32" s="228"/>
      <c r="O32" s="241" t="s">
        <v>106</v>
      </c>
      <c r="P32" s="241">
        <v>33.028281610000001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602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602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602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605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605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484861401705.59003</v>
      </c>
      <c r="BQ32" s="263">
        <v>4386253</v>
      </c>
      <c r="BR32" s="263">
        <v>4674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2018</v>
      </c>
      <c r="CT32" s="275">
        <v>115</v>
      </c>
      <c r="CU32" s="275" t="s">
        <v>655</v>
      </c>
      <c r="CV32" s="275">
        <v>26674634020.889988</v>
      </c>
      <c r="CW32" s="275">
        <v>28944143393</v>
      </c>
      <c r="CX32" s="275">
        <v>10710</v>
      </c>
      <c r="CY32" s="275">
        <v>370418176668.66937</v>
      </c>
      <c r="CZ32" s="275">
        <v>354578710006</v>
      </c>
      <c r="DA32" s="275">
        <v>5547</v>
      </c>
      <c r="DB32" s="275">
        <v>343743542647.78058</v>
      </c>
      <c r="DC32" s="275">
        <v>325634566613</v>
      </c>
      <c r="DD32" s="275">
        <v>5163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108</v>
      </c>
      <c r="H33" s="223">
        <v>11614.36258114</v>
      </c>
      <c r="I33" s="164"/>
      <c r="J33" s="157"/>
      <c r="K33" s="228"/>
      <c r="L33" s="228"/>
      <c r="M33" s="228"/>
      <c r="O33" s="241" t="s">
        <v>108</v>
      </c>
      <c r="P33" s="241">
        <v>12028.331439719999</v>
      </c>
      <c r="Q33" s="239"/>
      <c r="R33" s="153" t="s">
        <v>454</v>
      </c>
      <c r="S33" s="253" t="s">
        <v>565</v>
      </c>
      <c r="T33" s="258" t="s">
        <v>566</v>
      </c>
      <c r="U33" s="258" t="s">
        <v>567</v>
      </c>
      <c r="V33" s="258" t="s">
        <v>568</v>
      </c>
      <c r="W33" s="258" t="s">
        <v>569</v>
      </c>
      <c r="X33" s="258" t="s">
        <v>570</v>
      </c>
      <c r="Y33" s="245"/>
      <c r="Z33" s="253" t="s">
        <v>603</v>
      </c>
      <c r="AA33" s="253">
        <v>190332.6</v>
      </c>
      <c r="AB33" s="253">
        <v>316</v>
      </c>
      <c r="AC33" s="253">
        <v>23</v>
      </c>
      <c r="AD33" s="253">
        <v>65521</v>
      </c>
      <c r="AE33" s="253">
        <v>0</v>
      </c>
      <c r="AF33" s="253"/>
      <c r="AG33" s="253" t="s">
        <v>603</v>
      </c>
      <c r="AH33" s="253">
        <v>31900</v>
      </c>
      <c r="AI33" s="253">
        <v>3</v>
      </c>
      <c r="AJ33" s="253">
        <v>3</v>
      </c>
      <c r="AK33" s="253">
        <v>1419</v>
      </c>
      <c r="AL33" s="253">
        <v>0</v>
      </c>
      <c r="AM33" s="245"/>
      <c r="AN33" s="253" t="s">
        <v>603</v>
      </c>
      <c r="AO33" s="253">
        <v>7857477</v>
      </c>
      <c r="AP33" s="253">
        <v>2586</v>
      </c>
      <c r="AQ33" s="253">
        <v>137</v>
      </c>
      <c r="AR33" s="253">
        <v>69287</v>
      </c>
      <c r="AS33" s="253">
        <v>0</v>
      </c>
      <c r="AT33" s="245"/>
      <c r="AU33" s="253" t="s">
        <v>603</v>
      </c>
      <c r="AV33" s="253">
        <v>2269962</v>
      </c>
      <c r="AW33" s="253">
        <v>230</v>
      </c>
      <c r="AX33" s="253">
        <v>46</v>
      </c>
      <c r="AY33" s="253">
        <v>3909</v>
      </c>
      <c r="AZ33" s="253">
        <v>0</v>
      </c>
      <c r="BA33" s="245"/>
      <c r="BB33" s="253" t="s">
        <v>606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606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2018</v>
      </c>
      <c r="CT33" s="275">
        <v>20</v>
      </c>
      <c r="CU33" s="275" t="s">
        <v>656</v>
      </c>
      <c r="CV33" s="275">
        <v>-7233610427.710001</v>
      </c>
      <c r="CW33" s="275">
        <v>-6591145730</v>
      </c>
      <c r="CX33" s="275">
        <v>269</v>
      </c>
      <c r="CY33" s="275">
        <v>6231806812.8600016</v>
      </c>
      <c r="CZ33" s="275">
        <v>5836942500</v>
      </c>
      <c r="DA33" s="275">
        <v>90</v>
      </c>
      <c r="DB33" s="275">
        <v>13465417240.570002</v>
      </c>
      <c r="DC33" s="275">
        <v>12428088230</v>
      </c>
      <c r="DD33" s="275">
        <v>179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279</v>
      </c>
      <c r="H34" s="223">
        <v>55896.417102380001</v>
      </c>
      <c r="I34" s="164"/>
      <c r="J34" s="157"/>
      <c r="K34" s="228"/>
      <c r="L34" s="228"/>
      <c r="M34" s="228"/>
      <c r="O34" s="241" t="s">
        <v>279</v>
      </c>
      <c r="P34" s="241">
        <v>56123.666206959999</v>
      </c>
      <c r="Q34" s="239"/>
      <c r="R34" s="157"/>
      <c r="S34" s="253" t="s">
        <v>451</v>
      </c>
      <c r="T34" s="258">
        <v>102617254.90000001</v>
      </c>
      <c r="U34" s="258">
        <v>564824</v>
      </c>
      <c r="V34" s="258">
        <v>119</v>
      </c>
      <c r="W34" s="258">
        <v>564314</v>
      </c>
      <c r="X34" s="258">
        <v>0</v>
      </c>
      <c r="Y34" s="245"/>
      <c r="Z34" s="253" t="s">
        <v>604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604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604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604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607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607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539</v>
      </c>
      <c r="BQ34" s="264" t="s">
        <v>567</v>
      </c>
      <c r="BR34" s="264" t="s">
        <v>568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/>
      <c r="CT34" s="275"/>
      <c r="CU34" s="275"/>
      <c r="CV34" s="275"/>
      <c r="CW34" s="275"/>
      <c r="CX34" s="275"/>
      <c r="CY34" s="275"/>
      <c r="CZ34" s="275"/>
      <c r="DA34" s="275"/>
      <c r="DB34" s="275"/>
      <c r="DC34" s="275"/>
      <c r="DD34" s="275"/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280</v>
      </c>
      <c r="H35" s="223">
        <v>21613.233780859999</v>
      </c>
      <c r="I35" s="164"/>
      <c r="J35" s="157"/>
      <c r="K35" s="228"/>
      <c r="L35" s="228"/>
      <c r="M35" s="228"/>
      <c r="O35" s="241" t="s">
        <v>280</v>
      </c>
      <c r="P35" s="241">
        <v>21773.47629445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605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605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605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605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608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608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32602700629.380001</v>
      </c>
      <c r="BQ35" s="263">
        <v>316435</v>
      </c>
      <c r="BR35" s="263">
        <v>477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281</v>
      </c>
      <c r="H36" s="223">
        <v>37210.651408229998</v>
      </c>
      <c r="I36" s="164"/>
      <c r="J36" s="157"/>
      <c r="K36" s="228"/>
      <c r="L36" s="228"/>
      <c r="M36" s="228"/>
      <c r="O36" s="241" t="s">
        <v>281</v>
      </c>
      <c r="P36" s="241">
        <v>38719.103244520003</v>
      </c>
      <c r="Q36" s="239"/>
      <c r="R36" s="157"/>
      <c r="S36" s="253" t="s">
        <v>446</v>
      </c>
      <c r="T36" s="258">
        <v>3329410935.3000002</v>
      </c>
      <c r="U36" s="258">
        <v>457416</v>
      </c>
      <c r="V36" s="258">
        <v>619</v>
      </c>
      <c r="W36" s="258">
        <v>932372</v>
      </c>
      <c r="X36" s="258">
        <v>0</v>
      </c>
      <c r="Y36" s="245"/>
      <c r="Z36" s="253" t="s">
        <v>606</v>
      </c>
      <c r="AA36" s="253">
        <v>0</v>
      </c>
      <c r="AB36" s="253">
        <v>0</v>
      </c>
      <c r="AC36" s="253">
        <v>0</v>
      </c>
      <c r="AD36" s="253">
        <v>0</v>
      </c>
      <c r="AE36" s="253">
        <v>0</v>
      </c>
      <c r="AF36" s="253"/>
      <c r="AG36" s="253" t="s">
        <v>606</v>
      </c>
      <c r="AH36" s="253">
        <v>0</v>
      </c>
      <c r="AI36" s="253">
        <v>0</v>
      </c>
      <c r="AJ36" s="253">
        <v>0</v>
      </c>
      <c r="AK36" s="253">
        <v>0</v>
      </c>
      <c r="AL36" s="253">
        <v>0</v>
      </c>
      <c r="AM36" s="245"/>
      <c r="AN36" s="253" t="s">
        <v>606</v>
      </c>
      <c r="AO36" s="253">
        <v>0</v>
      </c>
      <c r="AP36" s="253">
        <v>0</v>
      </c>
      <c r="AQ36" s="253">
        <v>0</v>
      </c>
      <c r="AR36" s="253">
        <v>0</v>
      </c>
      <c r="AS36" s="253">
        <v>0</v>
      </c>
      <c r="AT36" s="245"/>
      <c r="AU36" s="253" t="s">
        <v>606</v>
      </c>
      <c r="AV36" s="253">
        <v>0</v>
      </c>
      <c r="AW36" s="253">
        <v>0</v>
      </c>
      <c r="AX36" s="253">
        <v>0</v>
      </c>
      <c r="AY36" s="253">
        <v>0</v>
      </c>
      <c r="AZ36" s="253">
        <v>0</v>
      </c>
      <c r="BA36" s="245"/>
      <c r="BB36" s="253" t="s">
        <v>609</v>
      </c>
      <c r="BC36" s="253">
        <v>1736718.86</v>
      </c>
      <c r="BD36" s="253">
        <v>562</v>
      </c>
      <c r="BE36" s="253">
        <v>88</v>
      </c>
      <c r="BF36" s="253">
        <v>60215</v>
      </c>
      <c r="BG36" s="253">
        <v>0</v>
      </c>
      <c r="BH36" s="247" t="s">
        <v>609</v>
      </c>
      <c r="BI36" s="253">
        <v>155039.84</v>
      </c>
      <c r="BJ36" s="253">
        <v>22</v>
      </c>
      <c r="BK36" s="253">
        <v>4</v>
      </c>
      <c r="BL36" s="253">
        <v>665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56</v>
      </c>
      <c r="H37" s="223">
        <v>52274.030369710003</v>
      </c>
      <c r="I37" s="164"/>
      <c r="J37" s="157"/>
      <c r="K37" s="228"/>
      <c r="L37" s="228"/>
      <c r="M37" s="228"/>
      <c r="O37" s="241" t="s">
        <v>56</v>
      </c>
      <c r="P37" s="241">
        <v>50273.928755070003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607</v>
      </c>
      <c r="AA37" s="253">
        <v>0</v>
      </c>
      <c r="AB37" s="253">
        <v>0</v>
      </c>
      <c r="AC37" s="253">
        <v>0</v>
      </c>
      <c r="AD37" s="253">
        <v>0</v>
      </c>
      <c r="AE37" s="253">
        <v>0</v>
      </c>
      <c r="AF37" s="253"/>
      <c r="AG37" s="253" t="s">
        <v>607</v>
      </c>
      <c r="AH37" s="253">
        <v>0</v>
      </c>
      <c r="AI37" s="253">
        <v>0</v>
      </c>
      <c r="AJ37" s="253">
        <v>0</v>
      </c>
      <c r="AK37" s="253">
        <v>0</v>
      </c>
      <c r="AL37" s="253">
        <v>0</v>
      </c>
      <c r="AM37" s="245"/>
      <c r="AN37" s="253" t="s">
        <v>607</v>
      </c>
      <c r="AO37" s="253">
        <v>0</v>
      </c>
      <c r="AP37" s="253">
        <v>0</v>
      </c>
      <c r="AQ37" s="253">
        <v>0</v>
      </c>
      <c r="AR37" s="253">
        <v>0</v>
      </c>
      <c r="AS37" s="253">
        <v>0</v>
      </c>
      <c r="AT37" s="245"/>
      <c r="AU37" s="253" t="s">
        <v>607</v>
      </c>
      <c r="AV37" s="253">
        <v>0</v>
      </c>
      <c r="AW37" s="253">
        <v>0</v>
      </c>
      <c r="AX37" s="253">
        <v>0</v>
      </c>
      <c r="AY37" s="253">
        <v>0</v>
      </c>
      <c r="AZ37" s="253">
        <v>0</v>
      </c>
      <c r="BA37" s="245"/>
      <c r="BB37" s="253" t="s">
        <v>610</v>
      </c>
      <c r="BC37" s="253">
        <v>82029402.950000003</v>
      </c>
      <c r="BD37" s="253">
        <v>10787</v>
      </c>
      <c r="BE37" s="253">
        <v>1169</v>
      </c>
      <c r="BF37" s="253">
        <v>530997</v>
      </c>
      <c r="BG37" s="253">
        <v>0</v>
      </c>
      <c r="BH37" s="247" t="s">
        <v>610</v>
      </c>
      <c r="BI37" s="253">
        <v>2031258.6</v>
      </c>
      <c r="BJ37" s="253">
        <v>736</v>
      </c>
      <c r="BK37" s="253">
        <v>75</v>
      </c>
      <c r="BL37" s="253">
        <v>29217</v>
      </c>
      <c r="BM37" s="253">
        <v>0</v>
      </c>
      <c r="BN37" s="253"/>
      <c r="BO37" s="256" t="s">
        <v>473</v>
      </c>
      <c r="BP37" s="264" t="s">
        <v>539</v>
      </c>
      <c r="BQ37" s="264" t="s">
        <v>567</v>
      </c>
      <c r="BR37" s="264" t="s">
        <v>568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45</v>
      </c>
      <c r="H38" s="223">
        <v>72566.437420410002</v>
      </c>
      <c r="I38" s="164"/>
      <c r="J38" s="157"/>
      <c r="K38" s="228"/>
      <c r="L38" s="228"/>
      <c r="M38" s="228"/>
      <c r="O38" s="241" t="s">
        <v>45</v>
      </c>
      <c r="P38" s="241">
        <v>70972.019996450006</v>
      </c>
      <c r="Q38" s="239"/>
      <c r="R38" s="157"/>
      <c r="S38" s="253" t="s">
        <v>447</v>
      </c>
      <c r="T38" s="258">
        <v>807485171.71000004</v>
      </c>
      <c r="U38" s="258">
        <v>492293</v>
      </c>
      <c r="V38" s="258">
        <v>338</v>
      </c>
      <c r="W38" s="258">
        <v>1336056</v>
      </c>
      <c r="X38" s="258">
        <v>0</v>
      </c>
      <c r="Y38" s="245"/>
      <c r="Z38" s="253" t="s">
        <v>608</v>
      </c>
      <c r="AA38" s="253">
        <v>0</v>
      </c>
      <c r="AB38" s="253">
        <v>0</v>
      </c>
      <c r="AC38" s="253">
        <v>0</v>
      </c>
      <c r="AD38" s="253">
        <v>0</v>
      </c>
      <c r="AE38" s="253">
        <v>0</v>
      </c>
      <c r="AF38" s="253"/>
      <c r="AG38" s="253" t="s">
        <v>608</v>
      </c>
      <c r="AH38" s="253">
        <v>0</v>
      </c>
      <c r="AI38" s="253">
        <v>0</v>
      </c>
      <c r="AJ38" s="253">
        <v>0</v>
      </c>
      <c r="AK38" s="253">
        <v>0</v>
      </c>
      <c r="AL38" s="253">
        <v>0</v>
      </c>
      <c r="AM38" s="245"/>
      <c r="AN38" s="253" t="s">
        <v>608</v>
      </c>
      <c r="AO38" s="253">
        <v>0</v>
      </c>
      <c r="AP38" s="253">
        <v>0</v>
      </c>
      <c r="AQ38" s="253">
        <v>0</v>
      </c>
      <c r="AR38" s="253">
        <v>0</v>
      </c>
      <c r="AS38" s="253">
        <v>0</v>
      </c>
      <c r="AT38" s="245"/>
      <c r="AU38" s="253" t="s">
        <v>608</v>
      </c>
      <c r="AV38" s="253">
        <v>0</v>
      </c>
      <c r="AW38" s="253">
        <v>0</v>
      </c>
      <c r="AX38" s="253">
        <v>0</v>
      </c>
      <c r="AY38" s="253">
        <v>0</v>
      </c>
      <c r="AZ38" s="253">
        <v>0</v>
      </c>
      <c r="BA38" s="245"/>
      <c r="BB38" s="253" t="s">
        <v>611</v>
      </c>
      <c r="BC38" s="253">
        <v>57441707.950000003</v>
      </c>
      <c r="BD38" s="253">
        <v>7956</v>
      </c>
      <c r="BE38" s="253">
        <v>318</v>
      </c>
      <c r="BF38" s="253">
        <v>258263</v>
      </c>
      <c r="BG38" s="253">
        <v>0</v>
      </c>
      <c r="BH38" s="247" t="s">
        <v>611</v>
      </c>
      <c r="BI38" s="253">
        <v>390814.6</v>
      </c>
      <c r="BJ38" s="253">
        <v>102</v>
      </c>
      <c r="BK38" s="253">
        <v>15</v>
      </c>
      <c r="BL38" s="253">
        <v>16447</v>
      </c>
      <c r="BM38" s="253">
        <v>0</v>
      </c>
      <c r="BN38" s="253"/>
      <c r="BO38" s="247"/>
      <c r="BP38" s="263">
        <v>609916060968.64001</v>
      </c>
      <c r="BQ38" s="263">
        <v>5440446</v>
      </c>
      <c r="BR38" s="263">
        <v>4788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47</v>
      </c>
      <c r="H39" s="223">
        <v>50017.146768060004</v>
      </c>
      <c r="I39" s="164"/>
      <c r="J39" s="157"/>
      <c r="K39" s="228"/>
      <c r="L39" s="228"/>
      <c r="M39" s="228"/>
      <c r="O39" s="241" t="s">
        <v>47</v>
      </c>
      <c r="P39" s="241">
        <v>47837.160754199998</v>
      </c>
      <c r="Q39" s="239"/>
      <c r="R39" s="157"/>
      <c r="S39" s="253" t="s">
        <v>571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609</v>
      </c>
      <c r="AA39" s="253">
        <v>423719.4</v>
      </c>
      <c r="AB39" s="253">
        <v>99</v>
      </c>
      <c r="AC39" s="253">
        <v>8</v>
      </c>
      <c r="AD39" s="253">
        <v>16493</v>
      </c>
      <c r="AE39" s="253">
        <v>0</v>
      </c>
      <c r="AF39" s="253"/>
      <c r="AG39" s="253" t="s">
        <v>609</v>
      </c>
      <c r="AH39" s="253">
        <v>0</v>
      </c>
      <c r="AI39" s="253">
        <v>0</v>
      </c>
      <c r="AJ39" s="253">
        <v>0</v>
      </c>
      <c r="AK39" s="253">
        <v>294</v>
      </c>
      <c r="AL39" s="253">
        <v>0</v>
      </c>
      <c r="AM39" s="245"/>
      <c r="AN39" s="253" t="s">
        <v>609</v>
      </c>
      <c r="AO39" s="253">
        <v>1300080.8</v>
      </c>
      <c r="AP39" s="253">
        <v>184</v>
      </c>
      <c r="AQ39" s="253">
        <v>23</v>
      </c>
      <c r="AR39" s="253">
        <v>19809</v>
      </c>
      <c r="AS39" s="253">
        <v>0</v>
      </c>
      <c r="AT39" s="245"/>
      <c r="AU39" s="253" t="s">
        <v>609</v>
      </c>
      <c r="AV39" s="253">
        <v>0</v>
      </c>
      <c r="AW39" s="253">
        <v>0</v>
      </c>
      <c r="AX39" s="253">
        <v>0</v>
      </c>
      <c r="AY39" s="253">
        <v>995</v>
      </c>
      <c r="AZ39" s="253">
        <v>0</v>
      </c>
      <c r="BA39" s="245"/>
      <c r="BB39" s="253" t="s">
        <v>612</v>
      </c>
      <c r="BC39" s="253">
        <v>0</v>
      </c>
      <c r="BD39" s="253">
        <v>0</v>
      </c>
      <c r="BE39" s="253">
        <v>0</v>
      </c>
      <c r="BF39" s="253">
        <v>0</v>
      </c>
      <c r="BG39" s="253">
        <v>1</v>
      </c>
      <c r="BH39" s="247" t="s">
        <v>612</v>
      </c>
      <c r="BI39" s="253">
        <v>0</v>
      </c>
      <c r="BJ39" s="253">
        <v>0</v>
      </c>
      <c r="BK39" s="253">
        <v>0</v>
      </c>
      <c r="BL39" s="253">
        <v>0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43</v>
      </c>
      <c r="H40" s="223">
        <v>58528.395363759999</v>
      </c>
      <c r="I40" s="164"/>
      <c r="J40" s="157"/>
      <c r="K40" s="228"/>
      <c r="L40" s="228"/>
      <c r="M40" s="228"/>
      <c r="O40" s="241" t="s">
        <v>43</v>
      </c>
      <c r="P40" s="241">
        <v>56462.549060899997</v>
      </c>
      <c r="Q40" s="239"/>
      <c r="R40" s="157"/>
      <c r="S40" s="253" t="s">
        <v>451</v>
      </c>
      <c r="T40" s="258">
        <v>1873731039.7160001</v>
      </c>
      <c r="U40" s="258">
        <v>251475</v>
      </c>
      <c r="V40" s="258">
        <v>228</v>
      </c>
      <c r="W40" s="258">
        <v>279783</v>
      </c>
      <c r="X40" s="258">
        <v>1</v>
      </c>
      <c r="Y40" s="245"/>
      <c r="Z40" s="253" t="s">
        <v>610</v>
      </c>
      <c r="AA40" s="253">
        <v>137743971.63</v>
      </c>
      <c r="AB40" s="253">
        <v>13932</v>
      </c>
      <c r="AC40" s="253">
        <v>1258</v>
      </c>
      <c r="AD40" s="253">
        <v>606233</v>
      </c>
      <c r="AE40" s="253">
        <v>0</v>
      </c>
      <c r="AF40" s="253"/>
      <c r="AG40" s="253" t="s">
        <v>610</v>
      </c>
      <c r="AH40" s="253">
        <v>3620423.53</v>
      </c>
      <c r="AI40" s="253">
        <v>582</v>
      </c>
      <c r="AJ40" s="253">
        <v>53</v>
      </c>
      <c r="AK40" s="253">
        <v>30810</v>
      </c>
      <c r="AL40" s="253">
        <v>0</v>
      </c>
      <c r="AM40" s="245"/>
      <c r="AN40" s="253" t="s">
        <v>610</v>
      </c>
      <c r="AO40" s="253">
        <v>325145898.29000002</v>
      </c>
      <c r="AP40" s="253">
        <v>11450</v>
      </c>
      <c r="AQ40" s="253">
        <v>1537</v>
      </c>
      <c r="AR40" s="253">
        <v>573263</v>
      </c>
      <c r="AS40" s="253">
        <v>0</v>
      </c>
      <c r="AT40" s="245"/>
      <c r="AU40" s="253" t="s">
        <v>610</v>
      </c>
      <c r="AV40" s="253">
        <v>6555569.4400000004</v>
      </c>
      <c r="AW40" s="253">
        <v>542</v>
      </c>
      <c r="AX40" s="253">
        <v>25</v>
      </c>
      <c r="AY40" s="253">
        <v>29724</v>
      </c>
      <c r="AZ40" s="253">
        <v>0</v>
      </c>
      <c r="BA40" s="245"/>
      <c r="BB40" s="253" t="s">
        <v>572</v>
      </c>
      <c r="BC40" s="253">
        <v>3857613616.9650002</v>
      </c>
      <c r="BD40" s="253">
        <v>19899</v>
      </c>
      <c r="BE40" s="253">
        <v>3053</v>
      </c>
      <c r="BF40" s="253">
        <v>259817</v>
      </c>
      <c r="BG40" s="253">
        <v>1</v>
      </c>
      <c r="BH40" s="247" t="s">
        <v>572</v>
      </c>
      <c r="BI40" s="253">
        <v>380448089.22500002</v>
      </c>
      <c r="BJ40" s="253">
        <v>1953</v>
      </c>
      <c r="BK40" s="253">
        <v>118</v>
      </c>
      <c r="BL40" s="253">
        <v>12084</v>
      </c>
      <c r="BM40" s="253">
        <v>1</v>
      </c>
      <c r="BN40" s="253"/>
      <c r="BO40" s="256" t="s">
        <v>474</v>
      </c>
      <c r="BP40" s="264" t="s">
        <v>539</v>
      </c>
      <c r="BQ40" s="264" t="s">
        <v>567</v>
      </c>
      <c r="BR40" s="264" t="s">
        <v>568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49</v>
      </c>
      <c r="H41" s="223">
        <v>6324.74983703</v>
      </c>
      <c r="I41" s="164"/>
      <c r="J41" s="157"/>
      <c r="K41" s="228"/>
      <c r="L41" s="228"/>
      <c r="M41" s="228"/>
      <c r="O41" s="241" t="s">
        <v>49</v>
      </c>
      <c r="P41" s="241">
        <v>6255.4594955399998</v>
      </c>
      <c r="Q41" s="239"/>
      <c r="R41" s="157"/>
      <c r="S41" s="253" t="s">
        <v>448</v>
      </c>
      <c r="T41" s="258">
        <v>66134558.520000003</v>
      </c>
      <c r="U41" s="258">
        <v>1532296</v>
      </c>
      <c r="V41" s="258">
        <v>6606</v>
      </c>
      <c r="W41" s="258">
        <v>748973</v>
      </c>
      <c r="X41" s="258">
        <v>1</v>
      </c>
      <c r="Y41" s="245"/>
      <c r="Z41" s="253" t="s">
        <v>611</v>
      </c>
      <c r="AA41" s="253">
        <v>86048421.950000003</v>
      </c>
      <c r="AB41" s="253">
        <v>11309</v>
      </c>
      <c r="AC41" s="253">
        <v>489</v>
      </c>
      <c r="AD41" s="253">
        <v>341049</v>
      </c>
      <c r="AE41" s="253">
        <v>0</v>
      </c>
      <c r="AF41" s="253"/>
      <c r="AG41" s="253" t="s">
        <v>611</v>
      </c>
      <c r="AH41" s="253">
        <v>2839327.2</v>
      </c>
      <c r="AI41" s="253">
        <v>448</v>
      </c>
      <c r="AJ41" s="253">
        <v>19</v>
      </c>
      <c r="AK41" s="253">
        <v>19810</v>
      </c>
      <c r="AL41" s="253">
        <v>0</v>
      </c>
      <c r="AM41" s="245"/>
      <c r="AN41" s="253" t="s">
        <v>611</v>
      </c>
      <c r="AO41" s="253">
        <v>59612666.240000002</v>
      </c>
      <c r="AP41" s="253">
        <v>7635</v>
      </c>
      <c r="AQ41" s="253">
        <v>417</v>
      </c>
      <c r="AR41" s="253">
        <v>281678</v>
      </c>
      <c r="AS41" s="253">
        <v>0</v>
      </c>
      <c r="AT41" s="245"/>
      <c r="AU41" s="253" t="s">
        <v>611</v>
      </c>
      <c r="AV41" s="253">
        <v>14282083.779999999</v>
      </c>
      <c r="AW41" s="253">
        <v>923</v>
      </c>
      <c r="AX41" s="253">
        <v>108</v>
      </c>
      <c r="AY41" s="253">
        <v>12289</v>
      </c>
      <c r="AZ41" s="253">
        <v>0</v>
      </c>
      <c r="BA41" s="245"/>
      <c r="BB41" s="253" t="s">
        <v>616</v>
      </c>
      <c r="BC41" s="253">
        <v>0</v>
      </c>
      <c r="BD41" s="253">
        <v>0</v>
      </c>
      <c r="BE41" s="253">
        <v>0</v>
      </c>
      <c r="BF41" s="253">
        <v>0</v>
      </c>
      <c r="BG41" s="253">
        <v>1</v>
      </c>
      <c r="BH41" s="247" t="s">
        <v>616</v>
      </c>
      <c r="BI41" s="253">
        <v>0</v>
      </c>
      <c r="BJ41" s="253">
        <v>0</v>
      </c>
      <c r="BK41" s="253">
        <v>0</v>
      </c>
      <c r="BL41" s="253">
        <v>0</v>
      </c>
      <c r="BM41" s="253">
        <v>1</v>
      </c>
      <c r="BN41" s="253"/>
      <c r="BO41" s="245"/>
      <c r="BP41" s="263">
        <v>15384962104.959999</v>
      </c>
      <c r="BQ41" s="263">
        <v>149772</v>
      </c>
      <c r="BR41" s="263">
        <v>303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548</v>
      </c>
      <c r="H42" s="223">
        <v>58487.560004819999</v>
      </c>
      <c r="I42" s="164"/>
      <c r="J42" s="157"/>
      <c r="K42" s="228"/>
      <c r="L42" s="228"/>
      <c r="M42" s="228"/>
      <c r="O42" s="241" t="s">
        <v>548</v>
      </c>
      <c r="P42" s="241">
        <v>56318.490603730002</v>
      </c>
      <c r="Q42" s="239"/>
      <c r="R42" s="157"/>
      <c r="S42" s="253" t="s">
        <v>182</v>
      </c>
      <c r="T42" s="258">
        <v>170370697.96700001</v>
      </c>
      <c r="U42" s="258">
        <v>6687337</v>
      </c>
      <c r="V42" s="258">
        <v>485</v>
      </c>
      <c r="W42" s="258">
        <v>1256352</v>
      </c>
      <c r="X42" s="258">
        <v>1</v>
      </c>
      <c r="Y42" s="245"/>
      <c r="Z42" s="253" t="s">
        <v>612</v>
      </c>
      <c r="AA42" s="253">
        <v>0</v>
      </c>
      <c r="AB42" s="253">
        <v>0</v>
      </c>
      <c r="AC42" s="253">
        <v>0</v>
      </c>
      <c r="AD42" s="253">
        <v>0</v>
      </c>
      <c r="AE42" s="253">
        <v>1</v>
      </c>
      <c r="AF42" s="253"/>
      <c r="AG42" s="253" t="s">
        <v>612</v>
      </c>
      <c r="AH42" s="253">
        <v>0</v>
      </c>
      <c r="AI42" s="253">
        <v>0</v>
      </c>
      <c r="AJ42" s="253">
        <v>0</v>
      </c>
      <c r="AK42" s="253">
        <v>0</v>
      </c>
      <c r="AL42" s="253">
        <v>1</v>
      </c>
      <c r="AM42" s="245"/>
      <c r="AN42" s="253" t="s">
        <v>612</v>
      </c>
      <c r="AO42" s="253">
        <v>0</v>
      </c>
      <c r="AP42" s="253">
        <v>0</v>
      </c>
      <c r="AQ42" s="253">
        <v>0</v>
      </c>
      <c r="AR42" s="253">
        <v>0</v>
      </c>
      <c r="AS42" s="253">
        <v>1</v>
      </c>
      <c r="AT42" s="245"/>
      <c r="AU42" s="253" t="s">
        <v>612</v>
      </c>
      <c r="AV42" s="253">
        <v>0</v>
      </c>
      <c r="AW42" s="253">
        <v>0</v>
      </c>
      <c r="AX42" s="253">
        <v>0</v>
      </c>
      <c r="AY42" s="253">
        <v>0</v>
      </c>
      <c r="AZ42" s="253">
        <v>1</v>
      </c>
      <c r="BA42" s="245"/>
      <c r="BB42" s="253" t="s">
        <v>573</v>
      </c>
      <c r="BC42" s="253">
        <v>262522983.84999999</v>
      </c>
      <c r="BD42" s="253">
        <v>3060</v>
      </c>
      <c r="BE42" s="253">
        <v>91</v>
      </c>
      <c r="BF42" s="253">
        <v>51821</v>
      </c>
      <c r="BG42" s="253">
        <v>1</v>
      </c>
      <c r="BH42" s="247" t="s">
        <v>573</v>
      </c>
      <c r="BI42" s="253">
        <v>0</v>
      </c>
      <c r="BJ42" s="253">
        <v>0</v>
      </c>
      <c r="BK42" s="253">
        <v>0</v>
      </c>
      <c r="BL42" s="253">
        <v>3129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549</v>
      </c>
      <c r="H43" s="223">
        <v>57116.728954749997</v>
      </c>
      <c r="I43" s="164"/>
      <c r="J43" s="157"/>
      <c r="K43" s="228"/>
      <c r="L43" s="228"/>
      <c r="M43" s="228"/>
      <c r="O43" s="241" t="s">
        <v>549</v>
      </c>
      <c r="P43" s="241">
        <v>55114.760520329997</v>
      </c>
      <c r="Q43" s="239"/>
      <c r="S43" s="245" t="s">
        <v>446</v>
      </c>
      <c r="T43" s="245">
        <v>699993765417.19446</v>
      </c>
      <c r="U43" s="245">
        <v>2321665</v>
      </c>
      <c r="V43" s="245">
        <v>342637</v>
      </c>
      <c r="W43" s="245">
        <v>573232</v>
      </c>
      <c r="X43" s="245">
        <v>1</v>
      </c>
      <c r="Y43" s="245"/>
      <c r="Z43" s="253" t="s">
        <v>572</v>
      </c>
      <c r="AA43" s="253">
        <v>5174224843.3100004</v>
      </c>
      <c r="AB43" s="253">
        <v>22432</v>
      </c>
      <c r="AC43" s="253">
        <v>2383</v>
      </c>
      <c r="AD43" s="253">
        <v>291029</v>
      </c>
      <c r="AE43" s="253">
        <v>1</v>
      </c>
      <c r="AF43" s="253"/>
      <c r="AG43" s="253" t="s">
        <v>572</v>
      </c>
      <c r="AH43" s="253">
        <v>414417275.58999997</v>
      </c>
      <c r="AI43" s="253">
        <v>1794</v>
      </c>
      <c r="AJ43" s="253">
        <v>160</v>
      </c>
      <c r="AK43" s="253">
        <v>13058</v>
      </c>
      <c r="AL43" s="253">
        <v>1</v>
      </c>
      <c r="AM43" s="245"/>
      <c r="AN43" s="253" t="s">
        <v>572</v>
      </c>
      <c r="AO43" s="253">
        <v>4906778016.3450003</v>
      </c>
      <c r="AP43" s="253">
        <v>21299</v>
      </c>
      <c r="AQ43" s="253">
        <v>3379</v>
      </c>
      <c r="AR43" s="253">
        <v>329519</v>
      </c>
      <c r="AS43" s="253">
        <v>1</v>
      </c>
      <c r="AT43" s="245"/>
      <c r="AU43" s="253" t="s">
        <v>572</v>
      </c>
      <c r="AV43" s="253">
        <v>334822890.89499998</v>
      </c>
      <c r="AW43" s="253">
        <v>1417</v>
      </c>
      <c r="AX43" s="253">
        <v>269</v>
      </c>
      <c r="AY43" s="253">
        <v>15953</v>
      </c>
      <c r="AZ43" s="253">
        <v>1</v>
      </c>
      <c r="BA43" s="245"/>
      <c r="BB43" s="253" t="s">
        <v>574</v>
      </c>
      <c r="BC43" s="253">
        <v>371750</v>
      </c>
      <c r="BD43" s="253">
        <v>5</v>
      </c>
      <c r="BE43" s="253">
        <v>1</v>
      </c>
      <c r="BF43" s="253">
        <v>20</v>
      </c>
      <c r="BG43" s="253">
        <v>1</v>
      </c>
      <c r="BH43" s="247" t="s">
        <v>574</v>
      </c>
      <c r="BI43" s="253">
        <v>0</v>
      </c>
      <c r="BJ43" s="253">
        <v>0</v>
      </c>
      <c r="BK43" s="253">
        <v>0</v>
      </c>
      <c r="BL43" s="253">
        <v>5</v>
      </c>
      <c r="BM43" s="253">
        <v>1</v>
      </c>
      <c r="BN43" s="253"/>
      <c r="BO43" s="252" t="s">
        <v>488</v>
      </c>
      <c r="BP43" s="264" t="s">
        <v>569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282</v>
      </c>
      <c r="H44" s="223">
        <v>3919.5271637599999</v>
      </c>
      <c r="I44" s="164"/>
      <c r="J44" s="157"/>
      <c r="K44" s="228"/>
      <c r="L44" s="228"/>
      <c r="M44" s="228"/>
      <c r="O44" s="241" t="s">
        <v>282</v>
      </c>
      <c r="P44" s="241">
        <v>3747.3406848099999</v>
      </c>
      <c r="Q44" s="239"/>
      <c r="S44" s="245" t="s">
        <v>449</v>
      </c>
      <c r="T44" s="245">
        <v>3027098934.553</v>
      </c>
      <c r="U44" s="245">
        <v>3917595</v>
      </c>
      <c r="V44" s="245">
        <v>274</v>
      </c>
      <c r="W44" s="245">
        <v>1730815</v>
      </c>
      <c r="X44" s="245">
        <v>1</v>
      </c>
      <c r="Y44" s="245"/>
      <c r="Z44" s="253" t="s">
        <v>573</v>
      </c>
      <c r="AA44" s="253">
        <v>22471920.059999999</v>
      </c>
      <c r="AB44" s="253">
        <v>226</v>
      </c>
      <c r="AC44" s="253">
        <v>29</v>
      </c>
      <c r="AD44" s="253">
        <v>31149</v>
      </c>
      <c r="AE44" s="253">
        <v>1</v>
      </c>
      <c r="AF44" s="253"/>
      <c r="AG44" s="253" t="s">
        <v>573</v>
      </c>
      <c r="AH44" s="253">
        <v>0</v>
      </c>
      <c r="AI44" s="253">
        <v>0</v>
      </c>
      <c r="AJ44" s="253">
        <v>0</v>
      </c>
      <c r="AK44" s="253">
        <v>1595</v>
      </c>
      <c r="AL44" s="253">
        <v>1</v>
      </c>
      <c r="AM44" s="245"/>
      <c r="AN44" s="253" t="s">
        <v>573</v>
      </c>
      <c r="AO44" s="253">
        <v>507881411.38999999</v>
      </c>
      <c r="AP44" s="253">
        <v>5277</v>
      </c>
      <c r="AQ44" s="253">
        <v>59</v>
      </c>
      <c r="AR44" s="253">
        <v>28626</v>
      </c>
      <c r="AS44" s="253">
        <v>1</v>
      </c>
      <c r="AT44" s="245"/>
      <c r="AU44" s="253" t="s">
        <v>573</v>
      </c>
      <c r="AV44" s="253">
        <v>4322279.9400000004</v>
      </c>
      <c r="AW44" s="253">
        <v>44</v>
      </c>
      <c r="AX44" s="253">
        <v>2</v>
      </c>
      <c r="AY44" s="253">
        <v>1524</v>
      </c>
      <c r="AZ44" s="253">
        <v>1</v>
      </c>
      <c r="BA44" s="245"/>
      <c r="BB44" s="253" t="s">
        <v>575</v>
      </c>
      <c r="BC44" s="253">
        <v>289050</v>
      </c>
      <c r="BD44" s="253">
        <v>10</v>
      </c>
      <c r="BE44" s="253">
        <v>1</v>
      </c>
      <c r="BF44" s="253">
        <v>20</v>
      </c>
      <c r="BG44" s="253">
        <v>1</v>
      </c>
      <c r="BH44" s="247" t="s">
        <v>575</v>
      </c>
      <c r="BI44" s="253">
        <v>0</v>
      </c>
      <c r="BJ44" s="253">
        <v>0</v>
      </c>
      <c r="BK44" s="253">
        <v>0</v>
      </c>
      <c r="BL44" s="253">
        <v>10</v>
      </c>
      <c r="BM44" s="253">
        <v>1</v>
      </c>
      <c r="BN44" s="253"/>
      <c r="BO44" s="247"/>
      <c r="BP44" s="263">
        <v>1164622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61</v>
      </c>
      <c r="H45" s="223">
        <v>45937.212550650002</v>
      </c>
      <c r="I45" s="164"/>
      <c r="J45" s="157"/>
      <c r="K45" s="228"/>
      <c r="L45" s="228"/>
      <c r="M45" s="228"/>
      <c r="O45" s="241" t="s">
        <v>61</v>
      </c>
      <c r="P45" s="241">
        <v>46883.791412630002</v>
      </c>
      <c r="Q45" s="239"/>
      <c r="S45" s="254" t="s">
        <v>450</v>
      </c>
      <c r="T45" s="257">
        <v>4490.42</v>
      </c>
      <c r="U45" s="257">
        <v>3501196</v>
      </c>
      <c r="V45" s="257">
        <v>273</v>
      </c>
      <c r="W45" s="257">
        <v>1527608</v>
      </c>
      <c r="X45" s="257">
        <v>1</v>
      </c>
      <c r="Y45" s="245"/>
      <c r="Z45" s="253" t="s">
        <v>574</v>
      </c>
      <c r="AA45" s="253">
        <v>1384720</v>
      </c>
      <c r="AB45" s="253">
        <v>20</v>
      </c>
      <c r="AC45" s="253">
        <v>4</v>
      </c>
      <c r="AD45" s="253">
        <v>102</v>
      </c>
      <c r="AE45" s="253">
        <v>1</v>
      </c>
      <c r="AF45" s="253"/>
      <c r="AG45" s="253" t="s">
        <v>574</v>
      </c>
      <c r="AH45" s="253">
        <v>0</v>
      </c>
      <c r="AI45" s="253">
        <v>0</v>
      </c>
      <c r="AJ45" s="253">
        <v>0</v>
      </c>
      <c r="AK45" s="253">
        <v>3</v>
      </c>
      <c r="AL45" s="253">
        <v>1</v>
      </c>
      <c r="AM45" s="245"/>
      <c r="AN45" s="253" t="s">
        <v>574</v>
      </c>
      <c r="AO45" s="253">
        <v>396620</v>
      </c>
      <c r="AP45" s="253">
        <v>6</v>
      </c>
      <c r="AQ45" s="253">
        <v>5</v>
      </c>
      <c r="AR45" s="253">
        <v>340</v>
      </c>
      <c r="AS45" s="253">
        <v>1</v>
      </c>
      <c r="AT45" s="245"/>
      <c r="AU45" s="253" t="s">
        <v>574</v>
      </c>
      <c r="AV45" s="253">
        <v>0</v>
      </c>
      <c r="AW45" s="253">
        <v>0</v>
      </c>
      <c r="AX45" s="253">
        <v>0</v>
      </c>
      <c r="AY45" s="253">
        <v>17</v>
      </c>
      <c r="AZ45" s="253">
        <v>1</v>
      </c>
      <c r="BA45" s="245"/>
      <c r="BB45" s="253" t="s">
        <v>576</v>
      </c>
      <c r="BC45" s="253">
        <v>2253300</v>
      </c>
      <c r="BD45" s="253">
        <v>50</v>
      </c>
      <c r="BE45" s="253">
        <v>7</v>
      </c>
      <c r="BF45" s="253">
        <v>944</v>
      </c>
      <c r="BG45" s="253">
        <v>1</v>
      </c>
      <c r="BH45" s="247" t="s">
        <v>576</v>
      </c>
      <c r="BI45" s="253">
        <v>0</v>
      </c>
      <c r="BJ45" s="253">
        <v>0</v>
      </c>
      <c r="BK45" s="253">
        <v>0</v>
      </c>
      <c r="BL45" s="253">
        <v>31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65</v>
      </c>
      <c r="H46" s="223">
        <v>73365.450256819997</v>
      </c>
      <c r="I46" s="164"/>
      <c r="J46" s="157"/>
      <c r="K46" s="228"/>
      <c r="L46" s="228"/>
      <c r="M46" s="228"/>
      <c r="O46" s="241" t="s">
        <v>65</v>
      </c>
      <c r="P46" s="241">
        <v>68915.663055850004</v>
      </c>
      <c r="Q46" s="239"/>
      <c r="S46" s="253" t="s">
        <v>447</v>
      </c>
      <c r="T46" s="258">
        <v>23921704083.603001</v>
      </c>
      <c r="U46" s="258">
        <v>2145939</v>
      </c>
      <c r="V46" s="258">
        <v>6884</v>
      </c>
      <c r="W46" s="258">
        <v>1122881</v>
      </c>
      <c r="X46" s="258">
        <v>1</v>
      </c>
      <c r="Y46" s="245"/>
      <c r="Z46" s="253" t="s">
        <v>575</v>
      </c>
      <c r="AA46" s="253">
        <v>0</v>
      </c>
      <c r="AB46" s="253">
        <v>0</v>
      </c>
      <c r="AC46" s="253">
        <v>0</v>
      </c>
      <c r="AD46" s="253">
        <v>0</v>
      </c>
      <c r="AE46" s="253">
        <v>1</v>
      </c>
      <c r="AF46" s="253"/>
      <c r="AG46" s="253" t="s">
        <v>575</v>
      </c>
      <c r="AH46" s="253">
        <v>0</v>
      </c>
      <c r="AI46" s="253">
        <v>0</v>
      </c>
      <c r="AJ46" s="253">
        <v>0</v>
      </c>
      <c r="AK46" s="253">
        <v>0</v>
      </c>
      <c r="AL46" s="253">
        <v>1</v>
      </c>
      <c r="AM46" s="245"/>
      <c r="AN46" s="253" t="s">
        <v>575</v>
      </c>
      <c r="AO46" s="253">
        <v>0</v>
      </c>
      <c r="AP46" s="253">
        <v>0</v>
      </c>
      <c r="AQ46" s="253">
        <v>0</v>
      </c>
      <c r="AR46" s="253">
        <v>0</v>
      </c>
      <c r="AS46" s="253">
        <v>1</v>
      </c>
      <c r="AT46" s="245"/>
      <c r="AU46" s="253" t="s">
        <v>575</v>
      </c>
      <c r="AV46" s="253">
        <v>0</v>
      </c>
      <c r="AW46" s="253">
        <v>0</v>
      </c>
      <c r="AX46" s="253">
        <v>0</v>
      </c>
      <c r="AY46" s="253">
        <v>0</v>
      </c>
      <c r="AZ46" s="253">
        <v>1</v>
      </c>
      <c r="BA46" s="245"/>
      <c r="BB46" s="253" t="s">
        <v>577</v>
      </c>
      <c r="BC46" s="253">
        <v>11222750.25</v>
      </c>
      <c r="BD46" s="253">
        <v>111</v>
      </c>
      <c r="BE46" s="253">
        <v>5</v>
      </c>
      <c r="BF46" s="253">
        <v>383</v>
      </c>
      <c r="BG46" s="253">
        <v>1</v>
      </c>
      <c r="BH46" s="247" t="s">
        <v>577</v>
      </c>
      <c r="BI46" s="253">
        <v>0</v>
      </c>
      <c r="BJ46" s="253">
        <v>0</v>
      </c>
      <c r="BK46" s="253">
        <v>0</v>
      </c>
      <c r="BL46" s="253">
        <v>110</v>
      </c>
      <c r="BM46" s="253">
        <v>1</v>
      </c>
      <c r="BN46" s="253"/>
      <c r="BO46" s="260" t="s">
        <v>489</v>
      </c>
      <c r="BP46" s="264" t="s">
        <v>569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67</v>
      </c>
      <c r="H47" s="223">
        <v>17125.86554653</v>
      </c>
      <c r="I47" s="164"/>
      <c r="J47" s="159"/>
      <c r="K47" s="228"/>
      <c r="L47" s="228"/>
      <c r="M47" s="228"/>
      <c r="O47" s="241" t="s">
        <v>67</v>
      </c>
      <c r="P47" s="241">
        <v>16262.09022781</v>
      </c>
      <c r="Q47" s="239"/>
      <c r="S47" s="253"/>
      <c r="T47" s="258"/>
      <c r="U47" s="258"/>
      <c r="V47" s="258"/>
      <c r="W47" s="258"/>
      <c r="X47" s="258"/>
      <c r="Y47" s="245"/>
      <c r="Z47" s="253" t="s">
        <v>576</v>
      </c>
      <c r="AA47" s="253">
        <v>2139375</v>
      </c>
      <c r="AB47" s="253">
        <v>60</v>
      </c>
      <c r="AC47" s="253">
        <v>4</v>
      </c>
      <c r="AD47" s="253">
        <v>2080</v>
      </c>
      <c r="AE47" s="253">
        <v>1</v>
      </c>
      <c r="AF47" s="253"/>
      <c r="AG47" s="253" t="s">
        <v>576</v>
      </c>
      <c r="AH47" s="253">
        <v>0</v>
      </c>
      <c r="AI47" s="253">
        <v>0</v>
      </c>
      <c r="AJ47" s="253">
        <v>0</v>
      </c>
      <c r="AK47" s="253">
        <v>111</v>
      </c>
      <c r="AL47" s="253">
        <v>1</v>
      </c>
      <c r="AM47" s="245"/>
      <c r="AN47" s="253" t="s">
        <v>576</v>
      </c>
      <c r="AO47" s="253">
        <v>193125</v>
      </c>
      <c r="AP47" s="253">
        <v>5</v>
      </c>
      <c r="AQ47" s="253">
        <v>1</v>
      </c>
      <c r="AR47" s="253">
        <v>2005</v>
      </c>
      <c r="AS47" s="253">
        <v>1</v>
      </c>
      <c r="AT47" s="245"/>
      <c r="AU47" s="253" t="s">
        <v>576</v>
      </c>
      <c r="AV47" s="253">
        <v>0</v>
      </c>
      <c r="AW47" s="253">
        <v>0</v>
      </c>
      <c r="AX47" s="253">
        <v>0</v>
      </c>
      <c r="AY47" s="253">
        <v>101</v>
      </c>
      <c r="AZ47" s="253">
        <v>1</v>
      </c>
      <c r="BA47" s="245"/>
      <c r="BB47" s="253" t="s">
        <v>578</v>
      </c>
      <c r="BC47" s="253">
        <v>0</v>
      </c>
      <c r="BD47" s="253">
        <v>0</v>
      </c>
      <c r="BE47" s="253">
        <v>0</v>
      </c>
      <c r="BF47" s="253">
        <v>0</v>
      </c>
      <c r="BG47" s="253">
        <v>1</v>
      </c>
      <c r="BH47" s="247" t="s">
        <v>578</v>
      </c>
      <c r="BI47" s="253">
        <v>0</v>
      </c>
      <c r="BJ47" s="253">
        <v>0</v>
      </c>
      <c r="BK47" s="253">
        <v>0</v>
      </c>
      <c r="BL47" s="253">
        <v>0</v>
      </c>
      <c r="BM47" s="253">
        <v>1</v>
      </c>
      <c r="BN47" s="253"/>
      <c r="BO47" s="247"/>
      <c r="BP47" s="263">
        <v>113852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69</v>
      </c>
      <c r="H48" s="223">
        <v>78499.428910910006</v>
      </c>
      <c r="I48" s="164"/>
      <c r="J48" s="159"/>
      <c r="K48" s="228"/>
      <c r="L48" s="228"/>
      <c r="M48" s="228"/>
      <c r="O48" s="241" t="s">
        <v>69</v>
      </c>
      <c r="P48" s="241">
        <v>73798.948904129997</v>
      </c>
      <c r="Q48" s="239"/>
      <c r="S48" s="253"/>
      <c r="T48" s="258"/>
      <c r="U48" s="258"/>
      <c r="V48" s="258"/>
      <c r="W48" s="258"/>
      <c r="X48" s="258"/>
      <c r="Y48" s="245"/>
      <c r="Z48" s="253" t="s">
        <v>577</v>
      </c>
      <c r="AA48" s="253">
        <v>312750</v>
      </c>
      <c r="AB48" s="253">
        <v>3</v>
      </c>
      <c r="AC48" s="253">
        <v>1</v>
      </c>
      <c r="AD48" s="253">
        <v>3060</v>
      </c>
      <c r="AE48" s="253">
        <v>1</v>
      </c>
      <c r="AF48" s="253"/>
      <c r="AG48" s="253" t="s">
        <v>577</v>
      </c>
      <c r="AH48" s="253">
        <v>0</v>
      </c>
      <c r="AI48" s="253">
        <v>0</v>
      </c>
      <c r="AJ48" s="253">
        <v>0</v>
      </c>
      <c r="AK48" s="253">
        <v>153</v>
      </c>
      <c r="AL48" s="253">
        <v>1</v>
      </c>
      <c r="AM48" s="245"/>
      <c r="AN48" s="253" t="s">
        <v>577</v>
      </c>
      <c r="AO48" s="253">
        <v>4839250</v>
      </c>
      <c r="AP48" s="253">
        <v>46</v>
      </c>
      <c r="AQ48" s="253">
        <v>4</v>
      </c>
      <c r="AR48" s="253">
        <v>3352</v>
      </c>
      <c r="AS48" s="253">
        <v>1</v>
      </c>
      <c r="AT48" s="245"/>
      <c r="AU48" s="253" t="s">
        <v>577</v>
      </c>
      <c r="AV48" s="253">
        <v>0</v>
      </c>
      <c r="AW48" s="253">
        <v>0</v>
      </c>
      <c r="AX48" s="253">
        <v>0</v>
      </c>
      <c r="AY48" s="253">
        <v>153</v>
      </c>
      <c r="AZ48" s="253">
        <v>1</v>
      </c>
      <c r="BA48" s="245"/>
      <c r="BB48" s="253" t="s">
        <v>579</v>
      </c>
      <c r="BC48" s="253">
        <v>1964420847.1099999</v>
      </c>
      <c r="BD48" s="253">
        <v>10259</v>
      </c>
      <c r="BE48" s="253">
        <v>694</v>
      </c>
      <c r="BF48" s="253">
        <v>296961</v>
      </c>
      <c r="BG48" s="253">
        <v>1</v>
      </c>
      <c r="BH48" s="247" t="s">
        <v>579</v>
      </c>
      <c r="BI48" s="253">
        <v>119458647.68000001</v>
      </c>
      <c r="BJ48" s="253">
        <v>605</v>
      </c>
      <c r="BK48" s="253">
        <v>22</v>
      </c>
      <c r="BL48" s="253">
        <v>16516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115</v>
      </c>
      <c r="H49" s="223">
        <v>855.20593399999996</v>
      </c>
      <c r="I49" s="164"/>
      <c r="J49" s="159"/>
      <c r="K49" s="228"/>
      <c r="L49" s="228"/>
      <c r="M49" s="228"/>
      <c r="O49" s="241" t="s">
        <v>115</v>
      </c>
      <c r="P49" s="241">
        <v>900.71036865999997</v>
      </c>
      <c r="Q49" s="239"/>
      <c r="S49" s="253"/>
      <c r="T49" s="258"/>
      <c r="U49" s="258"/>
      <c r="V49" s="258"/>
      <c r="W49" s="258"/>
      <c r="X49" s="258"/>
      <c r="Y49" s="245"/>
      <c r="Z49" s="253" t="s">
        <v>578</v>
      </c>
      <c r="AA49" s="253">
        <v>0</v>
      </c>
      <c r="AB49" s="253">
        <v>0</v>
      </c>
      <c r="AC49" s="253">
        <v>0</v>
      </c>
      <c r="AD49" s="253">
        <v>0</v>
      </c>
      <c r="AE49" s="253">
        <v>1</v>
      </c>
      <c r="AF49" s="253"/>
      <c r="AG49" s="253" t="s">
        <v>578</v>
      </c>
      <c r="AH49" s="253">
        <v>0</v>
      </c>
      <c r="AI49" s="253">
        <v>0</v>
      </c>
      <c r="AJ49" s="253">
        <v>0</v>
      </c>
      <c r="AK49" s="253">
        <v>0</v>
      </c>
      <c r="AL49" s="253">
        <v>1</v>
      </c>
      <c r="AM49" s="245"/>
      <c r="AN49" s="253" t="s">
        <v>578</v>
      </c>
      <c r="AO49" s="253">
        <v>0</v>
      </c>
      <c r="AP49" s="253">
        <v>0</v>
      </c>
      <c r="AQ49" s="253">
        <v>0</v>
      </c>
      <c r="AR49" s="253">
        <v>0</v>
      </c>
      <c r="AS49" s="253">
        <v>1</v>
      </c>
      <c r="AT49" s="245"/>
      <c r="AU49" s="253" t="s">
        <v>578</v>
      </c>
      <c r="AV49" s="253">
        <v>0</v>
      </c>
      <c r="AW49" s="253">
        <v>0</v>
      </c>
      <c r="AX49" s="253">
        <v>0</v>
      </c>
      <c r="AY49" s="253">
        <v>0</v>
      </c>
      <c r="AZ49" s="253">
        <v>1</v>
      </c>
      <c r="BA49" s="245"/>
      <c r="BB49" s="253" t="s">
        <v>580</v>
      </c>
      <c r="BC49" s="253">
        <v>26091266</v>
      </c>
      <c r="BD49" s="253">
        <v>1320</v>
      </c>
      <c r="BE49" s="253">
        <v>45</v>
      </c>
      <c r="BF49" s="253">
        <v>6344</v>
      </c>
      <c r="BG49" s="253">
        <v>1</v>
      </c>
      <c r="BH49" s="247" t="s">
        <v>580</v>
      </c>
      <c r="BI49" s="253">
        <v>877625</v>
      </c>
      <c r="BJ49" s="253">
        <v>43</v>
      </c>
      <c r="BK49" s="253">
        <v>2</v>
      </c>
      <c r="BL49" s="253">
        <v>274</v>
      </c>
      <c r="BM49" s="253">
        <v>1</v>
      </c>
      <c r="BN49" s="253"/>
      <c r="BO49" s="256" t="s">
        <v>491</v>
      </c>
      <c r="BP49" s="264" t="s">
        <v>539</v>
      </c>
      <c r="BQ49" s="264" t="s">
        <v>567</v>
      </c>
      <c r="BR49" s="264" t="s">
        <v>568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283</v>
      </c>
      <c r="H50" s="223">
        <v>308.03198385000002</v>
      </c>
      <c r="I50" s="164"/>
      <c r="J50" s="159"/>
      <c r="K50" s="228"/>
      <c r="L50" s="228"/>
      <c r="M50" s="228"/>
      <c r="O50" s="241" t="s">
        <v>283</v>
      </c>
      <c r="P50" s="241">
        <v>299.70279558999999</v>
      </c>
      <c r="Q50" s="239"/>
      <c r="R50" s="153" t="s">
        <v>455</v>
      </c>
      <c r="S50" s="253" t="s">
        <v>565</v>
      </c>
      <c r="T50" s="258" t="s">
        <v>566</v>
      </c>
      <c r="U50" s="258" t="s">
        <v>567</v>
      </c>
      <c r="V50" s="258" t="s">
        <v>568</v>
      </c>
      <c r="W50" s="258" t="s">
        <v>569</v>
      </c>
      <c r="X50" s="258" t="s">
        <v>570</v>
      </c>
      <c r="Y50" s="245"/>
      <c r="Z50" s="253" t="s">
        <v>579</v>
      </c>
      <c r="AA50" s="253">
        <v>3106442049.3800001</v>
      </c>
      <c r="AB50" s="253">
        <v>14632</v>
      </c>
      <c r="AC50" s="253">
        <v>949</v>
      </c>
      <c r="AD50" s="253">
        <v>168056</v>
      </c>
      <c r="AE50" s="253">
        <v>1</v>
      </c>
      <c r="AF50" s="253"/>
      <c r="AG50" s="253" t="s">
        <v>579</v>
      </c>
      <c r="AH50" s="253">
        <v>34993300.600000001</v>
      </c>
      <c r="AI50" s="253">
        <v>168</v>
      </c>
      <c r="AJ50" s="253">
        <v>20</v>
      </c>
      <c r="AK50" s="253">
        <v>8670</v>
      </c>
      <c r="AL50" s="253">
        <v>1</v>
      </c>
      <c r="AM50" s="245"/>
      <c r="AN50" s="253" t="s">
        <v>579</v>
      </c>
      <c r="AO50" s="253">
        <v>2434084767.9400001</v>
      </c>
      <c r="AP50" s="253">
        <v>11137</v>
      </c>
      <c r="AQ50" s="253">
        <v>630</v>
      </c>
      <c r="AR50" s="253">
        <v>159191</v>
      </c>
      <c r="AS50" s="253">
        <v>1</v>
      </c>
      <c r="AT50" s="245"/>
      <c r="AU50" s="253" t="s">
        <v>579</v>
      </c>
      <c r="AV50" s="253">
        <v>64606879.149999999</v>
      </c>
      <c r="AW50" s="253">
        <v>291</v>
      </c>
      <c r="AX50" s="253">
        <v>26</v>
      </c>
      <c r="AY50" s="253">
        <v>8085</v>
      </c>
      <c r="AZ50" s="253">
        <v>1</v>
      </c>
      <c r="BA50" s="245"/>
      <c r="BB50" s="253" t="s">
        <v>581</v>
      </c>
      <c r="BC50" s="253">
        <v>0</v>
      </c>
      <c r="BD50" s="253">
        <v>0</v>
      </c>
      <c r="BE50" s="253">
        <v>0</v>
      </c>
      <c r="BF50" s="253">
        <v>0</v>
      </c>
      <c r="BG50" s="253">
        <v>1</v>
      </c>
      <c r="BH50" s="247" t="s">
        <v>581</v>
      </c>
      <c r="BI50" s="253">
        <v>0</v>
      </c>
      <c r="BJ50" s="253">
        <v>0</v>
      </c>
      <c r="BK50" s="253">
        <v>0</v>
      </c>
      <c r="BL50" s="253">
        <v>0</v>
      </c>
      <c r="BM50" s="253">
        <v>1</v>
      </c>
      <c r="BN50" s="253"/>
      <c r="BO50" s="247"/>
      <c r="BP50" s="263">
        <v>25190794746.5</v>
      </c>
      <c r="BQ50" s="263">
        <v>1722128</v>
      </c>
      <c r="BR50" s="263">
        <v>2694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284</v>
      </c>
      <c r="H51" s="223">
        <v>17.69295739</v>
      </c>
      <c r="I51" s="164"/>
      <c r="J51" s="157"/>
      <c r="K51" s="228"/>
      <c r="L51" s="228"/>
      <c r="M51" s="228"/>
      <c r="O51" s="241" t="s">
        <v>284</v>
      </c>
      <c r="P51" s="241">
        <v>16.78765894</v>
      </c>
      <c r="Q51" s="239"/>
      <c r="S51" s="253" t="s">
        <v>451</v>
      </c>
      <c r="T51" s="258">
        <v>7211395.1799999997</v>
      </c>
      <c r="U51" s="258">
        <v>34741</v>
      </c>
      <c r="V51" s="258">
        <v>14</v>
      </c>
      <c r="W51" s="258">
        <v>564314</v>
      </c>
      <c r="X51" s="258">
        <v>0</v>
      </c>
      <c r="Y51" s="245"/>
      <c r="Z51" s="253" t="s">
        <v>580</v>
      </c>
      <c r="AA51" s="253">
        <v>59587665.75</v>
      </c>
      <c r="AB51" s="253">
        <v>3188</v>
      </c>
      <c r="AC51" s="253">
        <v>162</v>
      </c>
      <c r="AD51" s="253">
        <v>80992</v>
      </c>
      <c r="AE51" s="253">
        <v>1</v>
      </c>
      <c r="AF51" s="253"/>
      <c r="AG51" s="253" t="s">
        <v>580</v>
      </c>
      <c r="AH51" s="253">
        <v>683600</v>
      </c>
      <c r="AI51" s="253">
        <v>37</v>
      </c>
      <c r="AJ51" s="253">
        <v>7</v>
      </c>
      <c r="AK51" s="253">
        <v>4631</v>
      </c>
      <c r="AL51" s="253">
        <v>1</v>
      </c>
      <c r="AM51" s="245"/>
      <c r="AN51" s="253" t="s">
        <v>580</v>
      </c>
      <c r="AO51" s="253">
        <v>95408107.900000006</v>
      </c>
      <c r="AP51" s="253">
        <v>4976</v>
      </c>
      <c r="AQ51" s="253">
        <v>187</v>
      </c>
      <c r="AR51" s="253">
        <v>53514</v>
      </c>
      <c r="AS51" s="253">
        <v>1</v>
      </c>
      <c r="AT51" s="245"/>
      <c r="AU51" s="253" t="s">
        <v>580</v>
      </c>
      <c r="AV51" s="253">
        <v>5042600</v>
      </c>
      <c r="AW51" s="253">
        <v>263</v>
      </c>
      <c r="AX51" s="253">
        <v>3</v>
      </c>
      <c r="AY51" s="253">
        <v>2732</v>
      </c>
      <c r="AZ51" s="253">
        <v>1</v>
      </c>
      <c r="BA51" s="245"/>
      <c r="BB51" s="253" t="s">
        <v>582</v>
      </c>
      <c r="BC51" s="253">
        <v>40540983.659999996</v>
      </c>
      <c r="BD51" s="253">
        <v>530</v>
      </c>
      <c r="BE51" s="253">
        <v>10</v>
      </c>
      <c r="BF51" s="253">
        <v>9380</v>
      </c>
      <c r="BG51" s="253">
        <v>1</v>
      </c>
      <c r="BH51" s="247" t="s">
        <v>582</v>
      </c>
      <c r="BI51" s="253">
        <v>0</v>
      </c>
      <c r="BJ51" s="253">
        <v>0</v>
      </c>
      <c r="BK51" s="253">
        <v>0</v>
      </c>
      <c r="BL51" s="253">
        <v>410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285</v>
      </c>
      <c r="H52" s="223">
        <v>395.75497032999999</v>
      </c>
      <c r="I52" s="164"/>
      <c r="J52" s="157"/>
      <c r="K52" s="228"/>
      <c r="L52" s="228"/>
      <c r="M52" s="228"/>
      <c r="O52" s="241" t="s">
        <v>285</v>
      </c>
      <c r="P52" s="241">
        <v>385.18072909</v>
      </c>
      <c r="Q52" s="239"/>
      <c r="S52" s="253" t="s">
        <v>446</v>
      </c>
      <c r="T52" s="258">
        <v>361046941.5</v>
      </c>
      <c r="U52" s="258">
        <v>11290</v>
      </c>
      <c r="V52" s="258">
        <v>46</v>
      </c>
      <c r="W52" s="258">
        <v>932372</v>
      </c>
      <c r="X52" s="258">
        <v>0</v>
      </c>
      <c r="Y52" s="245"/>
      <c r="Z52" s="253" t="s">
        <v>581</v>
      </c>
      <c r="AA52" s="253">
        <v>312560</v>
      </c>
      <c r="AB52" s="253">
        <v>8</v>
      </c>
      <c r="AC52" s="253">
        <v>1</v>
      </c>
      <c r="AD52" s="253">
        <v>284</v>
      </c>
      <c r="AE52" s="253">
        <v>1</v>
      </c>
      <c r="AF52" s="253"/>
      <c r="AG52" s="253" t="s">
        <v>581</v>
      </c>
      <c r="AH52" s="253">
        <v>0</v>
      </c>
      <c r="AI52" s="253">
        <v>0</v>
      </c>
      <c r="AJ52" s="253">
        <v>0</v>
      </c>
      <c r="AK52" s="253">
        <v>11</v>
      </c>
      <c r="AL52" s="253">
        <v>1</v>
      </c>
      <c r="AM52" s="245"/>
      <c r="AN52" s="253" t="s">
        <v>581</v>
      </c>
      <c r="AO52" s="253">
        <v>416565</v>
      </c>
      <c r="AP52" s="253">
        <v>11</v>
      </c>
      <c r="AQ52" s="253">
        <v>2</v>
      </c>
      <c r="AR52" s="253">
        <v>458</v>
      </c>
      <c r="AS52" s="253">
        <v>1</v>
      </c>
      <c r="AT52" s="245"/>
      <c r="AU52" s="253" t="s">
        <v>581</v>
      </c>
      <c r="AV52" s="253">
        <v>0</v>
      </c>
      <c r="AW52" s="253">
        <v>0</v>
      </c>
      <c r="AX52" s="253">
        <v>0</v>
      </c>
      <c r="AY52" s="253">
        <v>19</v>
      </c>
      <c r="AZ52" s="253">
        <v>1</v>
      </c>
      <c r="BA52" s="245"/>
      <c r="BB52" s="253" t="s">
        <v>583</v>
      </c>
      <c r="BC52" s="253">
        <v>125257369.59999999</v>
      </c>
      <c r="BD52" s="253">
        <v>3920</v>
      </c>
      <c r="BE52" s="253">
        <v>8</v>
      </c>
      <c r="BF52" s="253">
        <v>26096</v>
      </c>
      <c r="BG52" s="253">
        <v>1</v>
      </c>
      <c r="BH52" s="247" t="s">
        <v>583</v>
      </c>
      <c r="BI52" s="253">
        <v>0</v>
      </c>
      <c r="BJ52" s="253">
        <v>0</v>
      </c>
      <c r="BK52" s="253">
        <v>0</v>
      </c>
      <c r="BL52" s="253">
        <v>2300</v>
      </c>
      <c r="BM52" s="253">
        <v>1</v>
      </c>
      <c r="BN52" s="253"/>
      <c r="BO52" s="259" t="s">
        <v>492</v>
      </c>
      <c r="BP52" s="264" t="s">
        <v>539</v>
      </c>
      <c r="BQ52" s="264" t="s">
        <v>567</v>
      </c>
      <c r="BR52" s="264" t="s">
        <v>568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286</v>
      </c>
      <c r="H53" s="223">
        <v>265.56154321999998</v>
      </c>
      <c r="I53" s="164"/>
      <c r="J53" s="157"/>
      <c r="K53" s="228"/>
      <c r="L53" s="228"/>
      <c r="M53" s="228"/>
      <c r="O53" s="241" t="s">
        <v>286</v>
      </c>
      <c r="P53" s="241">
        <v>264.87457542999999</v>
      </c>
      <c r="Q53" s="239"/>
      <c r="S53" s="253" t="s">
        <v>447</v>
      </c>
      <c r="T53" s="258">
        <v>8677593.0199999996</v>
      </c>
      <c r="U53" s="258">
        <v>11088</v>
      </c>
      <c r="V53" s="258">
        <v>10</v>
      </c>
      <c r="W53" s="258">
        <v>1336056</v>
      </c>
      <c r="X53" s="258">
        <v>0</v>
      </c>
      <c r="Y53" s="245"/>
      <c r="Z53" s="253" t="s">
        <v>582</v>
      </c>
      <c r="AA53" s="253">
        <v>18930978.850000001</v>
      </c>
      <c r="AB53" s="253">
        <v>201</v>
      </c>
      <c r="AC53" s="253">
        <v>19</v>
      </c>
      <c r="AD53" s="253">
        <v>129</v>
      </c>
      <c r="AE53" s="253">
        <v>1</v>
      </c>
      <c r="AF53" s="253"/>
      <c r="AG53" s="253" t="s">
        <v>582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582</v>
      </c>
      <c r="AO53" s="253">
        <v>651940</v>
      </c>
      <c r="AP53" s="253">
        <v>8</v>
      </c>
      <c r="AQ53" s="253">
        <v>1</v>
      </c>
      <c r="AR53" s="253">
        <v>32</v>
      </c>
      <c r="AS53" s="253">
        <v>1</v>
      </c>
      <c r="AT53" s="245"/>
      <c r="AU53" s="253" t="s">
        <v>582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584</v>
      </c>
      <c r="BC53" s="253">
        <v>0</v>
      </c>
      <c r="BD53" s="253">
        <v>0</v>
      </c>
      <c r="BE53" s="253">
        <v>0</v>
      </c>
      <c r="BF53" s="253">
        <v>570</v>
      </c>
      <c r="BG53" s="253">
        <v>1</v>
      </c>
      <c r="BH53" s="247" t="s">
        <v>584</v>
      </c>
      <c r="BI53" s="253">
        <v>0</v>
      </c>
      <c r="BJ53" s="253">
        <v>0</v>
      </c>
      <c r="BK53" s="253">
        <v>0</v>
      </c>
      <c r="BL53" s="253">
        <v>30</v>
      </c>
      <c r="BM53" s="253">
        <v>1</v>
      </c>
      <c r="BN53" s="253"/>
      <c r="BO53" s="251"/>
      <c r="BP53" s="263">
        <v>13214231190.6</v>
      </c>
      <c r="BQ53" s="263">
        <v>909382</v>
      </c>
      <c r="BR53" s="263">
        <v>109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287</v>
      </c>
      <c r="H54" s="223">
        <v>217.82435197000001</v>
      </c>
      <c r="I54" s="164"/>
      <c r="J54" s="157"/>
      <c r="K54" s="228"/>
      <c r="L54" s="228"/>
      <c r="M54" s="228"/>
      <c r="O54" s="241" t="s">
        <v>287</v>
      </c>
      <c r="P54" s="241">
        <v>207.90191508999999</v>
      </c>
      <c r="Q54" s="239"/>
      <c r="S54" s="253" t="s">
        <v>571</v>
      </c>
      <c r="T54" s="258">
        <v>0</v>
      </c>
      <c r="U54" s="258">
        <v>0</v>
      </c>
      <c r="V54" s="258">
        <v>0</v>
      </c>
      <c r="W54" s="258">
        <v>0</v>
      </c>
      <c r="X54" s="258">
        <v>1</v>
      </c>
      <c r="Y54" s="245"/>
      <c r="Z54" s="253" t="s">
        <v>583</v>
      </c>
      <c r="AA54" s="253">
        <v>190845</v>
      </c>
      <c r="AB54" s="253">
        <v>5</v>
      </c>
      <c r="AC54" s="253">
        <v>2</v>
      </c>
      <c r="AD54" s="253">
        <v>13370</v>
      </c>
      <c r="AE54" s="253">
        <v>1</v>
      </c>
      <c r="AF54" s="253"/>
      <c r="AG54" s="253" t="s">
        <v>583</v>
      </c>
      <c r="AH54" s="253">
        <v>0</v>
      </c>
      <c r="AI54" s="253">
        <v>0</v>
      </c>
      <c r="AJ54" s="253">
        <v>0</v>
      </c>
      <c r="AK54" s="253">
        <v>670</v>
      </c>
      <c r="AL54" s="253">
        <v>1</v>
      </c>
      <c r="AM54" s="245"/>
      <c r="AN54" s="253" t="s">
        <v>583</v>
      </c>
      <c r="AO54" s="253">
        <v>60476773.100000001</v>
      </c>
      <c r="AP54" s="253">
        <v>1636</v>
      </c>
      <c r="AQ54" s="253">
        <v>6</v>
      </c>
      <c r="AR54" s="253">
        <v>11110</v>
      </c>
      <c r="AS54" s="253">
        <v>1</v>
      </c>
      <c r="AT54" s="245"/>
      <c r="AU54" s="253" t="s">
        <v>583</v>
      </c>
      <c r="AV54" s="253">
        <v>0</v>
      </c>
      <c r="AW54" s="253">
        <v>0</v>
      </c>
      <c r="AX54" s="253">
        <v>0</v>
      </c>
      <c r="AY54" s="253">
        <v>668</v>
      </c>
      <c r="AZ54" s="253">
        <v>1</v>
      </c>
      <c r="BA54" s="245"/>
      <c r="BB54" s="253" t="s">
        <v>585</v>
      </c>
      <c r="BC54" s="253">
        <v>161734360.08700001</v>
      </c>
      <c r="BD54" s="253">
        <v>968</v>
      </c>
      <c r="BE54" s="253">
        <v>22</v>
      </c>
      <c r="BF54" s="253">
        <v>10319</v>
      </c>
      <c r="BG54" s="253">
        <v>1</v>
      </c>
      <c r="BH54" s="247" t="s">
        <v>585</v>
      </c>
      <c r="BI54" s="253">
        <v>165050</v>
      </c>
      <c r="BJ54" s="253">
        <v>1</v>
      </c>
      <c r="BK54" s="253">
        <v>1</v>
      </c>
      <c r="BL54" s="253">
        <v>920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288</v>
      </c>
      <c r="H55" s="223">
        <v>526.16546544000005</v>
      </c>
      <c r="I55" s="164"/>
      <c r="J55" s="157"/>
      <c r="K55" s="228"/>
      <c r="L55" s="228"/>
      <c r="M55" s="228"/>
      <c r="O55" s="241" t="s">
        <v>288</v>
      </c>
      <c r="P55" s="241">
        <v>513.31184655000004</v>
      </c>
      <c r="Q55" s="239"/>
      <c r="S55" s="253" t="s">
        <v>451</v>
      </c>
      <c r="T55" s="258">
        <v>24527.200000000001</v>
      </c>
      <c r="U55" s="258">
        <v>8</v>
      </c>
      <c r="V55" s="258">
        <v>1</v>
      </c>
      <c r="W55" s="258">
        <v>279783</v>
      </c>
      <c r="X55" s="258">
        <v>1</v>
      </c>
      <c r="Y55" s="245"/>
      <c r="Z55" s="253" t="s">
        <v>584</v>
      </c>
      <c r="AA55" s="253">
        <v>0</v>
      </c>
      <c r="AB55" s="253">
        <v>0</v>
      </c>
      <c r="AC55" s="253">
        <v>0</v>
      </c>
      <c r="AD55" s="253">
        <v>0</v>
      </c>
      <c r="AE55" s="253">
        <v>1</v>
      </c>
      <c r="AF55" s="253"/>
      <c r="AG55" s="253" t="s">
        <v>584</v>
      </c>
      <c r="AH55" s="253">
        <v>0</v>
      </c>
      <c r="AI55" s="253">
        <v>0</v>
      </c>
      <c r="AJ55" s="253">
        <v>0</v>
      </c>
      <c r="AK55" s="253">
        <v>0</v>
      </c>
      <c r="AL55" s="253">
        <v>1</v>
      </c>
      <c r="AM55" s="245"/>
      <c r="AN55" s="253" t="s">
        <v>584</v>
      </c>
      <c r="AO55" s="253">
        <v>2278332</v>
      </c>
      <c r="AP55" s="253">
        <v>30</v>
      </c>
      <c r="AQ55" s="253">
        <v>1</v>
      </c>
      <c r="AR55" s="253">
        <v>0</v>
      </c>
      <c r="AS55" s="253">
        <v>1</v>
      </c>
      <c r="AT55" s="245"/>
      <c r="AU55" s="253" t="s">
        <v>584</v>
      </c>
      <c r="AV55" s="253">
        <v>0</v>
      </c>
      <c r="AW55" s="253">
        <v>0</v>
      </c>
      <c r="AX55" s="253">
        <v>0</v>
      </c>
      <c r="AY55" s="253">
        <v>0</v>
      </c>
      <c r="AZ55" s="253">
        <v>1</v>
      </c>
      <c r="BA55" s="245"/>
      <c r="BB55" s="253" t="s">
        <v>586</v>
      </c>
      <c r="BC55" s="253">
        <v>14606220</v>
      </c>
      <c r="BD55" s="253">
        <v>108</v>
      </c>
      <c r="BE55" s="253">
        <v>27</v>
      </c>
      <c r="BF55" s="253">
        <v>625</v>
      </c>
      <c r="BG55" s="253">
        <v>1</v>
      </c>
      <c r="BH55" s="247" t="s">
        <v>586</v>
      </c>
      <c r="BI55" s="253">
        <v>0</v>
      </c>
      <c r="BJ55" s="253">
        <v>0</v>
      </c>
      <c r="BK55" s="253">
        <v>0</v>
      </c>
      <c r="BL55" s="253">
        <v>60</v>
      </c>
      <c r="BM55" s="253">
        <v>1</v>
      </c>
      <c r="BN55" s="253"/>
      <c r="BO55" s="256" t="s">
        <v>493</v>
      </c>
      <c r="BP55" s="264" t="s">
        <v>617</v>
      </c>
      <c r="BQ55" s="264" t="s">
        <v>569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289</v>
      </c>
      <c r="H56" s="223">
        <v>7976.7629849599998</v>
      </c>
      <c r="I56" s="164"/>
      <c r="J56" s="157"/>
      <c r="K56" s="228"/>
      <c r="L56" s="228"/>
      <c r="M56" s="228"/>
      <c r="O56" s="241" t="s">
        <v>289</v>
      </c>
      <c r="P56" s="241">
        <v>7533.4729034499996</v>
      </c>
      <c r="Q56" s="239"/>
      <c r="S56" s="253" t="s">
        <v>448</v>
      </c>
      <c r="T56" s="258">
        <v>0</v>
      </c>
      <c r="U56" s="258">
        <v>4373</v>
      </c>
      <c r="V56" s="258">
        <v>192</v>
      </c>
      <c r="W56" s="258">
        <v>748973</v>
      </c>
      <c r="X56" s="258">
        <v>1</v>
      </c>
      <c r="Y56" s="245"/>
      <c r="Z56" s="253" t="s">
        <v>585</v>
      </c>
      <c r="AA56" s="253">
        <v>41010959.986000001</v>
      </c>
      <c r="AB56" s="253">
        <v>225</v>
      </c>
      <c r="AC56" s="253">
        <v>11</v>
      </c>
      <c r="AD56" s="253">
        <v>10850</v>
      </c>
      <c r="AE56" s="253">
        <v>1</v>
      </c>
      <c r="AF56" s="253"/>
      <c r="AG56" s="253" t="s">
        <v>585</v>
      </c>
      <c r="AH56" s="253">
        <v>0</v>
      </c>
      <c r="AI56" s="253">
        <v>0</v>
      </c>
      <c r="AJ56" s="253">
        <v>0</v>
      </c>
      <c r="AK56" s="253">
        <v>427</v>
      </c>
      <c r="AL56" s="253">
        <v>1</v>
      </c>
      <c r="AM56" s="245"/>
      <c r="AN56" s="253" t="s">
        <v>585</v>
      </c>
      <c r="AO56" s="253">
        <v>30910243.611000001</v>
      </c>
      <c r="AP56" s="253">
        <v>164</v>
      </c>
      <c r="AQ56" s="253">
        <v>36</v>
      </c>
      <c r="AR56" s="253">
        <v>12410</v>
      </c>
      <c r="AS56" s="253">
        <v>1</v>
      </c>
      <c r="AT56" s="245"/>
      <c r="AU56" s="253" t="s">
        <v>585</v>
      </c>
      <c r="AV56" s="253">
        <v>191850</v>
      </c>
      <c r="AW56" s="253">
        <v>1</v>
      </c>
      <c r="AX56" s="253">
        <v>1</v>
      </c>
      <c r="AY56" s="253">
        <v>604</v>
      </c>
      <c r="AZ56" s="253">
        <v>1</v>
      </c>
      <c r="BA56" s="245"/>
      <c r="BB56" s="253" t="s">
        <v>587</v>
      </c>
      <c r="BC56" s="253">
        <v>44131669.020000003</v>
      </c>
      <c r="BD56" s="253">
        <v>388</v>
      </c>
      <c r="BE56" s="253">
        <v>38</v>
      </c>
      <c r="BF56" s="253">
        <v>1212</v>
      </c>
      <c r="BG56" s="253">
        <v>1</v>
      </c>
      <c r="BH56" s="247" t="s">
        <v>587</v>
      </c>
      <c r="BI56" s="253">
        <v>0</v>
      </c>
      <c r="BJ56" s="253">
        <v>0</v>
      </c>
      <c r="BK56" s="253">
        <v>0</v>
      </c>
      <c r="BL56" s="253">
        <v>84</v>
      </c>
      <c r="BM56" s="253">
        <v>1</v>
      </c>
      <c r="BN56" s="253"/>
      <c r="BO56" s="247"/>
      <c r="BP56" s="263" t="s">
        <v>618</v>
      </c>
      <c r="BQ56" s="263">
        <v>0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290</v>
      </c>
      <c r="H57" s="223">
        <v>872.58608135999998</v>
      </c>
      <c r="I57" s="164"/>
      <c r="J57" s="157"/>
      <c r="K57" s="228"/>
      <c r="L57" s="228"/>
      <c r="M57" s="228"/>
      <c r="O57" s="241" t="s">
        <v>290</v>
      </c>
      <c r="P57" s="241">
        <v>865.73036748000004</v>
      </c>
      <c r="Q57" s="239"/>
      <c r="S57" s="253" t="s">
        <v>182</v>
      </c>
      <c r="T57" s="258">
        <v>408008</v>
      </c>
      <c r="U57" s="258">
        <v>7000</v>
      </c>
      <c r="V57" s="258">
        <v>3</v>
      </c>
      <c r="W57" s="258">
        <v>1256352</v>
      </c>
      <c r="X57" s="258">
        <v>1</v>
      </c>
      <c r="Y57" s="245"/>
      <c r="Z57" s="253" t="s">
        <v>586</v>
      </c>
      <c r="AA57" s="253">
        <v>2572620</v>
      </c>
      <c r="AB57" s="253">
        <v>20</v>
      </c>
      <c r="AC57" s="253">
        <v>10</v>
      </c>
      <c r="AD57" s="253">
        <v>170</v>
      </c>
      <c r="AE57" s="253">
        <v>1</v>
      </c>
      <c r="AF57" s="253"/>
      <c r="AG57" s="253" t="s">
        <v>586</v>
      </c>
      <c r="AH57" s="253">
        <v>257880</v>
      </c>
      <c r="AI57" s="253">
        <v>2</v>
      </c>
      <c r="AJ57" s="253">
        <v>1</v>
      </c>
      <c r="AK57" s="253">
        <v>14</v>
      </c>
      <c r="AL57" s="253">
        <v>1</v>
      </c>
      <c r="AM57" s="245"/>
      <c r="AN57" s="253" t="s">
        <v>586</v>
      </c>
      <c r="AO57" s="253">
        <v>260400</v>
      </c>
      <c r="AP57" s="253">
        <v>2</v>
      </c>
      <c r="AQ57" s="253">
        <v>1</v>
      </c>
      <c r="AR57" s="253">
        <v>102</v>
      </c>
      <c r="AS57" s="253">
        <v>1</v>
      </c>
      <c r="AT57" s="245"/>
      <c r="AU57" s="253" t="s">
        <v>586</v>
      </c>
      <c r="AV57" s="253">
        <v>0</v>
      </c>
      <c r="AW57" s="253">
        <v>0</v>
      </c>
      <c r="AX57" s="253">
        <v>0</v>
      </c>
      <c r="AY57" s="253">
        <v>6</v>
      </c>
      <c r="AZ57" s="253">
        <v>1</v>
      </c>
      <c r="BA57" s="245"/>
      <c r="BB57" s="253" t="s">
        <v>588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588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619</v>
      </c>
      <c r="BQ57" s="263">
        <v>0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95</v>
      </c>
      <c r="H58" s="223">
        <v>485.78827539999997</v>
      </c>
      <c r="I58" s="164"/>
      <c r="J58" s="157"/>
      <c r="K58" s="228"/>
      <c r="L58" s="228"/>
      <c r="M58" s="228"/>
      <c r="O58" s="241" t="s">
        <v>95</v>
      </c>
      <c r="P58" s="241">
        <v>479.1234192</v>
      </c>
      <c r="Q58" s="239"/>
      <c r="S58" s="245" t="s">
        <v>446</v>
      </c>
      <c r="T58" s="245">
        <v>12065602701.625401</v>
      </c>
      <c r="U58" s="245">
        <v>28138</v>
      </c>
      <c r="V58" s="245">
        <v>12150</v>
      </c>
      <c r="W58" s="245">
        <v>573232</v>
      </c>
      <c r="X58" s="245">
        <v>1</v>
      </c>
      <c r="Y58" s="245"/>
      <c r="Z58" s="253" t="s">
        <v>587</v>
      </c>
      <c r="AA58" s="253">
        <v>23703365.074999999</v>
      </c>
      <c r="AB58" s="253">
        <v>216</v>
      </c>
      <c r="AC58" s="253">
        <v>37</v>
      </c>
      <c r="AD58" s="253">
        <v>2941</v>
      </c>
      <c r="AE58" s="253">
        <v>1</v>
      </c>
      <c r="AF58" s="253"/>
      <c r="AG58" s="253" t="s">
        <v>587</v>
      </c>
      <c r="AH58" s="253">
        <v>2523935.04</v>
      </c>
      <c r="AI58" s="253">
        <v>24</v>
      </c>
      <c r="AJ58" s="253">
        <v>4</v>
      </c>
      <c r="AK58" s="253">
        <v>266</v>
      </c>
      <c r="AL58" s="253">
        <v>1</v>
      </c>
      <c r="AM58" s="245"/>
      <c r="AN58" s="253" t="s">
        <v>587</v>
      </c>
      <c r="AO58" s="253">
        <v>30700754.93</v>
      </c>
      <c r="AP58" s="253">
        <v>261</v>
      </c>
      <c r="AQ58" s="253">
        <v>32</v>
      </c>
      <c r="AR58" s="253">
        <v>2377</v>
      </c>
      <c r="AS58" s="253">
        <v>1</v>
      </c>
      <c r="AT58" s="245"/>
      <c r="AU58" s="253" t="s">
        <v>587</v>
      </c>
      <c r="AV58" s="253">
        <v>1171500</v>
      </c>
      <c r="AW58" s="253">
        <v>10</v>
      </c>
      <c r="AX58" s="253">
        <v>1</v>
      </c>
      <c r="AY58" s="253">
        <v>132</v>
      </c>
      <c r="AZ58" s="253">
        <v>1</v>
      </c>
      <c r="BA58" s="245"/>
      <c r="BB58" s="253" t="s">
        <v>613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613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97</v>
      </c>
      <c r="H59" s="223">
        <v>381.00668461999999</v>
      </c>
      <c r="I59" s="164"/>
      <c r="J59" s="157"/>
      <c r="K59" s="228"/>
      <c r="L59" s="228"/>
      <c r="M59" s="228"/>
      <c r="O59" s="241" t="s">
        <v>97</v>
      </c>
      <c r="P59" s="241">
        <v>380.97550821999999</v>
      </c>
      <c r="Q59" s="239"/>
      <c r="S59" s="245" t="s">
        <v>449</v>
      </c>
      <c r="T59" s="245">
        <v>2002404.97</v>
      </c>
      <c r="U59" s="245">
        <v>3023</v>
      </c>
      <c r="V59" s="245">
        <v>1</v>
      </c>
      <c r="W59" s="245">
        <v>1730815</v>
      </c>
      <c r="X59" s="245">
        <v>1</v>
      </c>
      <c r="Y59" s="245"/>
      <c r="Z59" s="253" t="s">
        <v>588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588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588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588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614</v>
      </c>
      <c r="BC59" s="253">
        <v>0</v>
      </c>
      <c r="BD59" s="253">
        <v>0</v>
      </c>
      <c r="BE59" s="253">
        <v>0</v>
      </c>
      <c r="BF59" s="253">
        <v>0</v>
      </c>
      <c r="BG59" s="253">
        <v>1</v>
      </c>
      <c r="BH59" s="247" t="s">
        <v>614</v>
      </c>
      <c r="BI59" s="253">
        <v>0</v>
      </c>
      <c r="BJ59" s="253">
        <v>0</v>
      </c>
      <c r="BK59" s="253">
        <v>0</v>
      </c>
      <c r="BL59" s="253">
        <v>0</v>
      </c>
      <c r="BM59" s="253">
        <v>1</v>
      </c>
      <c r="BN59" s="253"/>
      <c r="BO59" s="256" t="s">
        <v>475</v>
      </c>
      <c r="BP59" s="264" t="s">
        <v>539</v>
      </c>
      <c r="BQ59" s="264" t="s">
        <v>567</v>
      </c>
      <c r="BR59" s="264" t="s">
        <v>568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293</v>
      </c>
      <c r="H60" s="223">
        <v>80026.241967669994</v>
      </c>
      <c r="I60" s="164"/>
      <c r="J60" s="157"/>
      <c r="K60" s="228"/>
      <c r="L60" s="228"/>
      <c r="M60" s="228"/>
      <c r="O60" s="241" t="s">
        <v>293</v>
      </c>
      <c r="P60" s="241">
        <v>75124.670272629999</v>
      </c>
      <c r="Q60" s="239"/>
      <c r="S60" s="254" t="s">
        <v>450</v>
      </c>
      <c r="T60" s="257">
        <v>0</v>
      </c>
      <c r="U60" s="257">
        <v>2418</v>
      </c>
      <c r="V60" s="257">
        <v>1</v>
      </c>
      <c r="W60" s="257">
        <v>1527608</v>
      </c>
      <c r="X60" s="257">
        <v>1</v>
      </c>
      <c r="Y60" s="245"/>
      <c r="Z60" s="253" t="s">
        <v>613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613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613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613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591</v>
      </c>
      <c r="BC60" s="253">
        <v>0</v>
      </c>
      <c r="BD60" s="253">
        <v>0</v>
      </c>
      <c r="BE60" s="253">
        <v>0</v>
      </c>
      <c r="BF60" s="253">
        <v>0</v>
      </c>
      <c r="BG60" s="253">
        <v>1</v>
      </c>
      <c r="BH60" s="247" t="s">
        <v>591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195922398158.29999</v>
      </c>
      <c r="BQ60" s="263">
        <v>13463662</v>
      </c>
      <c r="BR60" s="263">
        <v>14434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99</v>
      </c>
      <c r="H61" s="223">
        <v>26032.047869229998</v>
      </c>
      <c r="I61" s="164"/>
      <c r="J61" s="157"/>
      <c r="K61" s="228"/>
      <c r="L61" s="228"/>
      <c r="M61" s="228"/>
      <c r="O61" s="241" t="s">
        <v>99</v>
      </c>
      <c r="P61" s="241">
        <v>26642.37793377</v>
      </c>
      <c r="Q61" s="239"/>
      <c r="R61" s="157"/>
      <c r="S61" s="253" t="s">
        <v>447</v>
      </c>
      <c r="T61" s="258">
        <v>187061732.30000001</v>
      </c>
      <c r="U61" s="258">
        <v>6712</v>
      </c>
      <c r="V61" s="258">
        <v>199</v>
      </c>
      <c r="W61" s="258">
        <v>1122881</v>
      </c>
      <c r="X61" s="258">
        <v>1</v>
      </c>
      <c r="Y61" s="245"/>
      <c r="Z61" s="253" t="s">
        <v>614</v>
      </c>
      <c r="AA61" s="253">
        <v>0</v>
      </c>
      <c r="AB61" s="253">
        <v>0</v>
      </c>
      <c r="AC61" s="253">
        <v>0</v>
      </c>
      <c r="AD61" s="253">
        <v>0</v>
      </c>
      <c r="AE61" s="253">
        <v>1</v>
      </c>
      <c r="AF61" s="253"/>
      <c r="AG61" s="253" t="s">
        <v>614</v>
      </c>
      <c r="AH61" s="253">
        <v>0</v>
      </c>
      <c r="AI61" s="253">
        <v>0</v>
      </c>
      <c r="AJ61" s="253">
        <v>0</v>
      </c>
      <c r="AK61" s="253">
        <v>0</v>
      </c>
      <c r="AL61" s="253">
        <v>1</v>
      </c>
      <c r="AM61" s="245"/>
      <c r="AN61" s="253" t="s">
        <v>614</v>
      </c>
      <c r="AO61" s="253">
        <v>0</v>
      </c>
      <c r="AP61" s="253">
        <v>0</v>
      </c>
      <c r="AQ61" s="253">
        <v>0</v>
      </c>
      <c r="AR61" s="253">
        <v>0</v>
      </c>
      <c r="AS61" s="253">
        <v>1</v>
      </c>
      <c r="AT61" s="245"/>
      <c r="AU61" s="253" t="s">
        <v>614</v>
      </c>
      <c r="AV61" s="253">
        <v>0</v>
      </c>
      <c r="AW61" s="253">
        <v>0</v>
      </c>
      <c r="AX61" s="253">
        <v>0</v>
      </c>
      <c r="AY61" s="253">
        <v>0</v>
      </c>
      <c r="AZ61" s="253">
        <v>1</v>
      </c>
      <c r="BA61" s="245"/>
      <c r="BB61" s="253" t="s">
        <v>592</v>
      </c>
      <c r="BC61" s="253">
        <v>20711039.997000001</v>
      </c>
      <c r="BD61" s="253">
        <v>167</v>
      </c>
      <c r="BE61" s="253">
        <v>7</v>
      </c>
      <c r="BF61" s="253">
        <v>976</v>
      </c>
      <c r="BG61" s="253">
        <v>1</v>
      </c>
      <c r="BH61" s="247" t="s">
        <v>592</v>
      </c>
      <c r="BI61" s="253">
        <v>0</v>
      </c>
      <c r="BJ61" s="253">
        <v>0</v>
      </c>
      <c r="BK61" s="253">
        <v>0</v>
      </c>
      <c r="BL61" s="253">
        <v>167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294</v>
      </c>
      <c r="H62" s="223">
        <v>255.27694797999999</v>
      </c>
      <c r="I62" s="164"/>
      <c r="J62" s="157"/>
      <c r="K62" s="228"/>
      <c r="L62" s="228"/>
      <c r="M62" s="228"/>
      <c r="O62" s="241" t="s">
        <v>294</v>
      </c>
      <c r="P62" s="241">
        <v>248.56004557</v>
      </c>
      <c r="Q62" s="239"/>
      <c r="R62" s="157"/>
      <c r="S62" s="253"/>
      <c r="T62" s="258"/>
      <c r="U62" s="258"/>
      <c r="V62" s="258"/>
      <c r="W62" s="258"/>
      <c r="X62" s="258"/>
      <c r="Y62" s="245"/>
      <c r="Z62" s="253" t="s">
        <v>589</v>
      </c>
      <c r="AA62" s="253">
        <v>0</v>
      </c>
      <c r="AB62" s="253">
        <v>0</v>
      </c>
      <c r="AC62" s="253">
        <v>0</v>
      </c>
      <c r="AD62" s="253">
        <v>0</v>
      </c>
      <c r="AE62" s="253">
        <v>1</v>
      </c>
      <c r="AF62" s="253"/>
      <c r="AG62" s="253" t="s">
        <v>589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589</v>
      </c>
      <c r="AO62" s="253">
        <v>0</v>
      </c>
      <c r="AP62" s="253">
        <v>0</v>
      </c>
      <c r="AQ62" s="253">
        <v>0</v>
      </c>
      <c r="AR62" s="253">
        <v>0</v>
      </c>
      <c r="AS62" s="253">
        <v>1</v>
      </c>
      <c r="AT62" s="245"/>
      <c r="AU62" s="253" t="s">
        <v>589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593</v>
      </c>
      <c r="BC62" s="253">
        <v>27639220</v>
      </c>
      <c r="BD62" s="253">
        <v>280</v>
      </c>
      <c r="BE62" s="253">
        <v>11</v>
      </c>
      <c r="BF62" s="253">
        <v>104</v>
      </c>
      <c r="BG62" s="253">
        <v>1</v>
      </c>
      <c r="BH62" s="247" t="s">
        <v>593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539</v>
      </c>
      <c r="BQ62" s="264" t="s">
        <v>567</v>
      </c>
      <c r="BR62" s="264" t="s">
        <v>568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297</v>
      </c>
      <c r="H63" s="223">
        <v>177.48472710999999</v>
      </c>
      <c r="I63" s="164"/>
      <c r="J63" s="157"/>
      <c r="K63" s="228"/>
      <c r="L63" s="228"/>
      <c r="M63" s="228"/>
      <c r="O63" s="241" t="s">
        <v>297</v>
      </c>
      <c r="P63" s="241">
        <v>167.51452327000001</v>
      </c>
      <c r="Q63" s="239"/>
      <c r="R63" s="153" t="s">
        <v>456</v>
      </c>
      <c r="S63" s="253" t="s">
        <v>565</v>
      </c>
      <c r="T63" s="258" t="s">
        <v>566</v>
      </c>
      <c r="U63" s="258" t="s">
        <v>567</v>
      </c>
      <c r="V63" s="258" t="s">
        <v>568</v>
      </c>
      <c r="W63" s="258" t="s">
        <v>569</v>
      </c>
      <c r="X63" s="258" t="s">
        <v>570</v>
      </c>
      <c r="Y63" s="245"/>
      <c r="Z63" s="253" t="s">
        <v>590</v>
      </c>
      <c r="AA63" s="253">
        <v>1938000</v>
      </c>
      <c r="AB63" s="253">
        <v>19</v>
      </c>
      <c r="AC63" s="253">
        <v>1</v>
      </c>
      <c r="AD63" s="253">
        <v>721</v>
      </c>
      <c r="AE63" s="253">
        <v>1</v>
      </c>
      <c r="AF63" s="253"/>
      <c r="AG63" s="253" t="s">
        <v>590</v>
      </c>
      <c r="AH63" s="253">
        <v>1938000</v>
      </c>
      <c r="AI63" s="253">
        <v>19</v>
      </c>
      <c r="AJ63" s="253">
        <v>1</v>
      </c>
      <c r="AK63" s="253">
        <v>18</v>
      </c>
      <c r="AL63" s="253">
        <v>1</v>
      </c>
      <c r="AM63" s="245"/>
      <c r="AN63" s="253" t="s">
        <v>590</v>
      </c>
      <c r="AO63" s="253">
        <v>320850</v>
      </c>
      <c r="AP63" s="253">
        <v>3</v>
      </c>
      <c r="AQ63" s="253">
        <v>1</v>
      </c>
      <c r="AR63" s="253">
        <v>794</v>
      </c>
      <c r="AS63" s="253">
        <v>1</v>
      </c>
      <c r="AT63" s="245"/>
      <c r="AU63" s="253" t="s">
        <v>590</v>
      </c>
      <c r="AV63" s="253">
        <v>0</v>
      </c>
      <c r="AW63" s="253">
        <v>0</v>
      </c>
      <c r="AX63" s="253">
        <v>0</v>
      </c>
      <c r="AY63" s="253">
        <v>37</v>
      </c>
      <c r="AZ63" s="253">
        <v>1</v>
      </c>
      <c r="BA63" s="245"/>
      <c r="BB63" s="253" t="s">
        <v>594</v>
      </c>
      <c r="BC63" s="253">
        <v>1022480</v>
      </c>
      <c r="BD63" s="253">
        <v>9</v>
      </c>
      <c r="BE63" s="253">
        <v>9</v>
      </c>
      <c r="BF63" s="253">
        <v>249</v>
      </c>
      <c r="BG63" s="253">
        <v>1</v>
      </c>
      <c r="BH63" s="247" t="s">
        <v>594</v>
      </c>
      <c r="BI63" s="253">
        <v>0</v>
      </c>
      <c r="BJ63" s="253">
        <v>0</v>
      </c>
      <c r="BK63" s="253">
        <v>0</v>
      </c>
      <c r="BL63" s="253">
        <v>14</v>
      </c>
      <c r="BM63" s="253">
        <v>1</v>
      </c>
      <c r="BN63" s="253"/>
      <c r="BO63" s="251"/>
      <c r="BP63" s="263">
        <v>181695647104.70001</v>
      </c>
      <c r="BQ63" s="263">
        <v>12228057</v>
      </c>
      <c r="BR63" s="263">
        <v>1138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298</v>
      </c>
      <c r="H64" s="223">
        <v>13077.61747608</v>
      </c>
      <c r="I64" s="164"/>
      <c r="J64" s="3"/>
      <c r="K64" s="228"/>
      <c r="L64" s="228"/>
      <c r="M64" s="228"/>
      <c r="O64" s="241" t="s">
        <v>298</v>
      </c>
      <c r="P64" s="241">
        <v>11979.2393343</v>
      </c>
      <c r="Q64" s="239"/>
      <c r="R64" s="157"/>
      <c r="S64" s="253" t="s">
        <v>571</v>
      </c>
      <c r="T64" s="258">
        <v>0</v>
      </c>
      <c r="U64" s="258">
        <v>0</v>
      </c>
      <c r="V64" s="258">
        <v>0</v>
      </c>
      <c r="W64" s="258">
        <v>0</v>
      </c>
      <c r="X64" s="258">
        <v>0</v>
      </c>
      <c r="Y64" s="245"/>
      <c r="Z64" s="253" t="s">
        <v>591</v>
      </c>
      <c r="AA64" s="253">
        <v>0</v>
      </c>
      <c r="AB64" s="253">
        <v>0</v>
      </c>
      <c r="AC64" s="253">
        <v>0</v>
      </c>
      <c r="AD64" s="253">
        <v>0</v>
      </c>
      <c r="AE64" s="253">
        <v>1</v>
      </c>
      <c r="AF64" s="253"/>
      <c r="AG64" s="253" t="s">
        <v>591</v>
      </c>
      <c r="AH64" s="253">
        <v>0</v>
      </c>
      <c r="AI64" s="253">
        <v>0</v>
      </c>
      <c r="AJ64" s="253">
        <v>0</v>
      </c>
      <c r="AK64" s="253">
        <v>0</v>
      </c>
      <c r="AL64" s="253">
        <v>1</v>
      </c>
      <c r="AM64" s="245"/>
      <c r="AN64" s="253" t="s">
        <v>591</v>
      </c>
      <c r="AO64" s="253">
        <v>0</v>
      </c>
      <c r="AP64" s="253">
        <v>0</v>
      </c>
      <c r="AQ64" s="253">
        <v>0</v>
      </c>
      <c r="AR64" s="253">
        <v>0</v>
      </c>
      <c r="AS64" s="253">
        <v>1</v>
      </c>
      <c r="AT64" s="245"/>
      <c r="AU64" s="253" t="s">
        <v>591</v>
      </c>
      <c r="AV64" s="253">
        <v>0</v>
      </c>
      <c r="AW64" s="253">
        <v>0</v>
      </c>
      <c r="AX64" s="253">
        <v>0</v>
      </c>
      <c r="AY64" s="253">
        <v>0</v>
      </c>
      <c r="AZ64" s="253">
        <v>1</v>
      </c>
      <c r="BA64" s="245"/>
      <c r="BB64" s="253" t="s">
        <v>595</v>
      </c>
      <c r="BC64" s="253">
        <v>11898089.99</v>
      </c>
      <c r="BD64" s="253">
        <v>127</v>
      </c>
      <c r="BE64" s="253">
        <v>8</v>
      </c>
      <c r="BF64" s="253">
        <v>809</v>
      </c>
      <c r="BG64" s="253">
        <v>1</v>
      </c>
      <c r="BH64" s="247" t="s">
        <v>595</v>
      </c>
      <c r="BI64" s="253">
        <v>0</v>
      </c>
      <c r="BJ64" s="253">
        <v>0</v>
      </c>
      <c r="BK64" s="253">
        <v>0</v>
      </c>
      <c r="BL64" s="253">
        <v>36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299</v>
      </c>
      <c r="H65" s="223">
        <v>3244.1436258799999</v>
      </c>
      <c r="I65" s="164"/>
      <c r="J65" s="3"/>
      <c r="K65" s="228"/>
      <c r="L65" s="228"/>
      <c r="M65" s="228"/>
      <c r="O65" s="241" t="s">
        <v>299</v>
      </c>
      <c r="P65" s="241">
        <v>3356.5106118099998</v>
      </c>
      <c r="Q65" s="239"/>
      <c r="R65" s="157"/>
      <c r="S65" s="253" t="s">
        <v>451</v>
      </c>
      <c r="T65" s="258">
        <v>45124781.539999999</v>
      </c>
      <c r="U65" s="258">
        <v>83171</v>
      </c>
      <c r="V65" s="258">
        <v>66</v>
      </c>
      <c r="W65" s="258">
        <v>189023</v>
      </c>
      <c r="X65" s="258">
        <v>0</v>
      </c>
      <c r="Y65" s="245"/>
      <c r="Z65" s="253" t="s">
        <v>592</v>
      </c>
      <c r="AA65" s="253">
        <v>13265970</v>
      </c>
      <c r="AB65" s="253">
        <v>69</v>
      </c>
      <c r="AC65" s="253">
        <v>7</v>
      </c>
      <c r="AD65" s="253">
        <v>405</v>
      </c>
      <c r="AE65" s="253">
        <v>1</v>
      </c>
      <c r="AF65" s="253"/>
      <c r="AG65" s="253" t="s">
        <v>592</v>
      </c>
      <c r="AH65" s="253">
        <v>0</v>
      </c>
      <c r="AI65" s="253">
        <v>0</v>
      </c>
      <c r="AJ65" s="253">
        <v>0</v>
      </c>
      <c r="AK65" s="253">
        <v>0</v>
      </c>
      <c r="AL65" s="253">
        <v>1</v>
      </c>
      <c r="AM65" s="245"/>
      <c r="AN65" s="253" t="s">
        <v>592</v>
      </c>
      <c r="AO65" s="253">
        <v>4395000</v>
      </c>
      <c r="AP65" s="253">
        <v>20</v>
      </c>
      <c r="AQ65" s="253">
        <v>1</v>
      </c>
      <c r="AR65" s="253">
        <v>1680</v>
      </c>
      <c r="AS65" s="253">
        <v>1</v>
      </c>
      <c r="AT65" s="245"/>
      <c r="AU65" s="253" t="s">
        <v>592</v>
      </c>
      <c r="AV65" s="253">
        <v>0</v>
      </c>
      <c r="AW65" s="253">
        <v>0</v>
      </c>
      <c r="AX65" s="253">
        <v>0</v>
      </c>
      <c r="AY65" s="253">
        <v>69</v>
      </c>
      <c r="AZ65" s="253">
        <v>1</v>
      </c>
      <c r="BA65" s="245"/>
      <c r="BB65" s="253" t="s">
        <v>598</v>
      </c>
      <c r="BC65" s="253">
        <v>64878428.899999999</v>
      </c>
      <c r="BD65" s="253">
        <v>610</v>
      </c>
      <c r="BE65" s="253">
        <v>10</v>
      </c>
      <c r="BF65" s="253">
        <v>3511</v>
      </c>
      <c r="BG65" s="253">
        <v>1</v>
      </c>
      <c r="BH65" s="247" t="s">
        <v>598</v>
      </c>
      <c r="BI65" s="253">
        <v>0</v>
      </c>
      <c r="BJ65" s="253">
        <v>0</v>
      </c>
      <c r="BK65" s="253">
        <v>0</v>
      </c>
      <c r="BL65" s="253">
        <v>631</v>
      </c>
      <c r="BM65" s="253">
        <v>1</v>
      </c>
      <c r="BN65" s="253"/>
      <c r="BO65" s="256" t="s">
        <v>476</v>
      </c>
      <c r="BP65" s="264" t="s">
        <v>539</v>
      </c>
      <c r="BQ65" s="264" t="s">
        <v>567</v>
      </c>
      <c r="BR65" s="264" t="s">
        <v>568</v>
      </c>
    </row>
    <row r="66" spans="1:70" x14ac:dyDescent="0.2">
      <c r="A66" s="83"/>
      <c r="B66" s="190" t="s">
        <v>271</v>
      </c>
      <c r="C66" s="193">
        <v>43578</v>
      </c>
      <c r="D66" s="190">
        <v>12448.840151259999</v>
      </c>
      <c r="E66" s="223">
        <v>1</v>
      </c>
      <c r="F66" s="220"/>
      <c r="G66" s="223" t="s">
        <v>300</v>
      </c>
      <c r="H66" s="223">
        <v>139.17073113000001</v>
      </c>
      <c r="I66" s="164"/>
      <c r="J66" s="3"/>
      <c r="K66" s="228"/>
      <c r="L66" s="228"/>
      <c r="M66" s="228"/>
      <c r="O66" s="241" t="s">
        <v>300</v>
      </c>
      <c r="P66" s="241">
        <v>132.84578930999999</v>
      </c>
      <c r="Q66" s="239"/>
      <c r="R66" s="157"/>
      <c r="S66" s="253" t="s">
        <v>448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593</v>
      </c>
      <c r="AA66" s="253">
        <v>37395120</v>
      </c>
      <c r="AB66" s="253">
        <v>276</v>
      </c>
      <c r="AC66" s="253">
        <v>19</v>
      </c>
      <c r="AD66" s="253">
        <v>2925</v>
      </c>
      <c r="AE66" s="253">
        <v>1</v>
      </c>
      <c r="AF66" s="253"/>
      <c r="AG66" s="253" t="s">
        <v>593</v>
      </c>
      <c r="AH66" s="253">
        <v>0</v>
      </c>
      <c r="AI66" s="253">
        <v>0</v>
      </c>
      <c r="AJ66" s="253">
        <v>0</v>
      </c>
      <c r="AK66" s="253">
        <v>114</v>
      </c>
      <c r="AL66" s="253">
        <v>1</v>
      </c>
      <c r="AM66" s="245"/>
      <c r="AN66" s="253" t="s">
        <v>593</v>
      </c>
      <c r="AO66" s="253">
        <v>111633293.79000001</v>
      </c>
      <c r="AP66" s="253">
        <v>754</v>
      </c>
      <c r="AQ66" s="253">
        <v>51</v>
      </c>
      <c r="AR66" s="253">
        <v>7842</v>
      </c>
      <c r="AS66" s="253">
        <v>1</v>
      </c>
      <c r="AT66" s="245"/>
      <c r="AU66" s="253" t="s">
        <v>593</v>
      </c>
      <c r="AV66" s="253">
        <v>20715466.149999999</v>
      </c>
      <c r="AW66" s="253">
        <v>154</v>
      </c>
      <c r="AX66" s="253">
        <v>12</v>
      </c>
      <c r="AY66" s="253">
        <v>171</v>
      </c>
      <c r="AZ66" s="253">
        <v>1</v>
      </c>
      <c r="BA66" s="245"/>
      <c r="BB66" s="253" t="s">
        <v>599</v>
      </c>
      <c r="BC66" s="253">
        <v>2771225</v>
      </c>
      <c r="BD66" s="253">
        <v>32</v>
      </c>
      <c r="BE66" s="253">
        <v>7</v>
      </c>
      <c r="BF66" s="253">
        <v>540</v>
      </c>
      <c r="BG66" s="253">
        <v>1</v>
      </c>
      <c r="BH66" s="247" t="s">
        <v>599</v>
      </c>
      <c r="BI66" s="253">
        <v>0</v>
      </c>
      <c r="BJ66" s="253">
        <v>0</v>
      </c>
      <c r="BK66" s="253">
        <v>0</v>
      </c>
      <c r="BL66" s="253">
        <v>21</v>
      </c>
      <c r="BM66" s="253">
        <v>1</v>
      </c>
      <c r="BN66" s="253"/>
      <c r="BO66" s="247"/>
      <c r="BP66" s="263">
        <v>170052061663.98926</v>
      </c>
      <c r="BQ66" s="263">
        <v>13535528</v>
      </c>
      <c r="BR66" s="263">
        <v>14348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301</v>
      </c>
      <c r="H67" s="223">
        <v>1757.95956961</v>
      </c>
      <c r="I67" s="164"/>
      <c r="J67" s="3"/>
      <c r="K67" s="228"/>
      <c r="L67" s="228"/>
      <c r="M67" s="228"/>
      <c r="O67" s="241" t="s">
        <v>301</v>
      </c>
      <c r="P67" s="241">
        <v>1649.30757928</v>
      </c>
      <c r="Q67" s="239"/>
      <c r="R67" s="157"/>
      <c r="S67" s="253" t="s">
        <v>446</v>
      </c>
      <c r="T67" s="258">
        <v>3174481125.6199999</v>
      </c>
      <c r="U67" s="258">
        <v>335297</v>
      </c>
      <c r="V67" s="258">
        <v>544</v>
      </c>
      <c r="W67" s="258">
        <v>854378</v>
      </c>
      <c r="X67" s="258">
        <v>0</v>
      </c>
      <c r="Y67" s="245"/>
      <c r="Z67" s="253" t="s">
        <v>594</v>
      </c>
      <c r="AA67" s="253">
        <v>898180.00300000003</v>
      </c>
      <c r="AB67" s="253">
        <v>7</v>
      </c>
      <c r="AC67" s="253">
        <v>1</v>
      </c>
      <c r="AD67" s="253">
        <v>5712</v>
      </c>
      <c r="AE67" s="253">
        <v>1</v>
      </c>
      <c r="AF67" s="253"/>
      <c r="AG67" s="253" t="s">
        <v>594</v>
      </c>
      <c r="AH67" s="253">
        <v>0</v>
      </c>
      <c r="AI67" s="253">
        <v>0</v>
      </c>
      <c r="AJ67" s="253">
        <v>0</v>
      </c>
      <c r="AK67" s="253">
        <v>280</v>
      </c>
      <c r="AL67" s="253">
        <v>1</v>
      </c>
      <c r="AM67" s="245"/>
      <c r="AN67" s="253" t="s">
        <v>594</v>
      </c>
      <c r="AO67" s="253">
        <v>32196126.609000001</v>
      </c>
      <c r="AP67" s="253">
        <v>262</v>
      </c>
      <c r="AQ67" s="253">
        <v>29</v>
      </c>
      <c r="AR67" s="253">
        <v>5413</v>
      </c>
      <c r="AS67" s="253">
        <v>1</v>
      </c>
      <c r="AT67" s="245"/>
      <c r="AU67" s="253" t="s">
        <v>594</v>
      </c>
      <c r="AV67" s="253">
        <v>503100</v>
      </c>
      <c r="AW67" s="253">
        <v>4</v>
      </c>
      <c r="AX67" s="253">
        <v>2</v>
      </c>
      <c r="AY67" s="253">
        <v>287</v>
      </c>
      <c r="AZ67" s="253">
        <v>1</v>
      </c>
      <c r="BA67" s="245"/>
      <c r="BB67" s="253" t="s">
        <v>600</v>
      </c>
      <c r="BC67" s="253">
        <v>8728919.9649999999</v>
      </c>
      <c r="BD67" s="253">
        <v>80</v>
      </c>
      <c r="BE67" s="253">
        <v>11</v>
      </c>
      <c r="BF67" s="253">
        <v>952</v>
      </c>
      <c r="BG67" s="253">
        <v>1</v>
      </c>
      <c r="BH67" s="247" t="s">
        <v>600</v>
      </c>
      <c r="BI67" s="253">
        <v>0</v>
      </c>
      <c r="BJ67" s="253">
        <v>0</v>
      </c>
      <c r="BK67" s="253">
        <v>0</v>
      </c>
      <c r="BL67" s="253">
        <v>37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43347</v>
      </c>
      <c r="D68" s="190">
        <v>28871.375256529998</v>
      </c>
      <c r="E68" s="223">
        <v>1</v>
      </c>
      <c r="F68" s="213"/>
      <c r="G68" s="223" t="s">
        <v>303</v>
      </c>
      <c r="H68" s="223">
        <v>14499.8449</v>
      </c>
      <c r="I68" s="164"/>
      <c r="J68" s="3"/>
      <c r="K68" s="228"/>
      <c r="L68" s="228"/>
      <c r="M68" s="228"/>
      <c r="O68" s="241" t="s">
        <v>303</v>
      </c>
      <c r="P68" s="241">
        <v>14205.4915</v>
      </c>
      <c r="Q68" s="239"/>
      <c r="R68" s="157"/>
      <c r="S68" s="253" t="s">
        <v>449</v>
      </c>
      <c r="T68" s="258">
        <v>0</v>
      </c>
      <c r="U68" s="258">
        <v>0</v>
      </c>
      <c r="V68" s="258">
        <v>0</v>
      </c>
      <c r="W68" s="258">
        <v>0</v>
      </c>
      <c r="X68" s="258">
        <v>0</v>
      </c>
      <c r="Y68" s="245"/>
      <c r="Z68" s="253" t="s">
        <v>595</v>
      </c>
      <c r="AA68" s="253">
        <v>36475410.049999997</v>
      </c>
      <c r="AB68" s="253">
        <v>404</v>
      </c>
      <c r="AC68" s="253">
        <v>15</v>
      </c>
      <c r="AD68" s="253">
        <v>3987</v>
      </c>
      <c r="AE68" s="253">
        <v>1</v>
      </c>
      <c r="AF68" s="253"/>
      <c r="AG68" s="253" t="s">
        <v>595</v>
      </c>
      <c r="AH68" s="253">
        <v>0</v>
      </c>
      <c r="AI68" s="253">
        <v>0</v>
      </c>
      <c r="AJ68" s="253">
        <v>0</v>
      </c>
      <c r="AK68" s="253">
        <v>161</v>
      </c>
      <c r="AL68" s="253">
        <v>1</v>
      </c>
      <c r="AM68" s="245"/>
      <c r="AN68" s="253" t="s">
        <v>595</v>
      </c>
      <c r="AO68" s="253">
        <v>81393939.420000002</v>
      </c>
      <c r="AP68" s="253">
        <v>957</v>
      </c>
      <c r="AQ68" s="253">
        <v>43</v>
      </c>
      <c r="AR68" s="253">
        <v>7994</v>
      </c>
      <c r="AS68" s="253">
        <v>1</v>
      </c>
      <c r="AT68" s="245"/>
      <c r="AU68" s="253" t="s">
        <v>595</v>
      </c>
      <c r="AV68" s="253">
        <v>36055439.420000002</v>
      </c>
      <c r="AW68" s="253">
        <v>428</v>
      </c>
      <c r="AX68" s="253">
        <v>7</v>
      </c>
      <c r="AY68" s="253">
        <v>336</v>
      </c>
      <c r="AZ68" s="253">
        <v>1</v>
      </c>
      <c r="BA68" s="245"/>
      <c r="BB68" s="253" t="s">
        <v>601</v>
      </c>
      <c r="BC68" s="253">
        <v>1479200</v>
      </c>
      <c r="BD68" s="253">
        <v>4</v>
      </c>
      <c r="BE68" s="253">
        <v>1</v>
      </c>
      <c r="BF68" s="253">
        <v>836</v>
      </c>
      <c r="BG68" s="253">
        <v>1</v>
      </c>
      <c r="BH68" s="247" t="s">
        <v>601</v>
      </c>
      <c r="BI68" s="253">
        <v>0</v>
      </c>
      <c r="BJ68" s="253">
        <v>0</v>
      </c>
      <c r="BK68" s="253">
        <v>0</v>
      </c>
      <c r="BL68" s="253">
        <v>44</v>
      </c>
      <c r="BM68" s="253">
        <v>1</v>
      </c>
      <c r="BN68" s="253"/>
      <c r="BO68" s="256" t="s">
        <v>477</v>
      </c>
      <c r="BP68" s="264" t="s">
        <v>539</v>
      </c>
      <c r="BQ68" s="264" t="s">
        <v>567</v>
      </c>
      <c r="BR68" s="264" t="s">
        <v>568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304</v>
      </c>
      <c r="H69" s="223">
        <v>22772.1205419</v>
      </c>
      <c r="I69" s="164"/>
      <c r="J69" s="3"/>
      <c r="K69" s="228"/>
      <c r="L69" s="228"/>
      <c r="M69" s="228"/>
      <c r="O69" s="241" t="s">
        <v>304</v>
      </c>
      <c r="P69" s="241">
        <v>21914.322541680001</v>
      </c>
      <c r="Q69" s="239"/>
      <c r="R69" s="157"/>
      <c r="S69" s="253" t="s">
        <v>447</v>
      </c>
      <c r="T69" s="258">
        <v>391778637.64999998</v>
      </c>
      <c r="U69" s="258">
        <v>299752</v>
      </c>
      <c r="V69" s="258">
        <v>295</v>
      </c>
      <c r="W69" s="258">
        <v>1060670</v>
      </c>
      <c r="X69" s="258">
        <v>0</v>
      </c>
      <c r="Y69" s="245"/>
      <c r="Z69" s="253" t="s">
        <v>596</v>
      </c>
      <c r="AA69" s="253">
        <v>0</v>
      </c>
      <c r="AB69" s="253">
        <v>0</v>
      </c>
      <c r="AC69" s="253">
        <v>0</v>
      </c>
      <c r="AD69" s="253">
        <v>0</v>
      </c>
      <c r="AE69" s="253">
        <v>1</v>
      </c>
      <c r="AF69" s="253"/>
      <c r="AG69" s="253" t="s">
        <v>596</v>
      </c>
      <c r="AH69" s="253">
        <v>0</v>
      </c>
      <c r="AI69" s="253">
        <v>0</v>
      </c>
      <c r="AJ69" s="253">
        <v>0</v>
      </c>
      <c r="AK69" s="253">
        <v>0</v>
      </c>
      <c r="AL69" s="253">
        <v>1</v>
      </c>
      <c r="AM69" s="245"/>
      <c r="AN69" s="253" t="s">
        <v>596</v>
      </c>
      <c r="AO69" s="253">
        <v>0</v>
      </c>
      <c r="AP69" s="253">
        <v>0</v>
      </c>
      <c r="AQ69" s="253">
        <v>0</v>
      </c>
      <c r="AR69" s="253">
        <v>0</v>
      </c>
      <c r="AS69" s="253">
        <v>1</v>
      </c>
      <c r="AT69" s="245"/>
      <c r="AU69" s="253" t="s">
        <v>596</v>
      </c>
      <c r="AV69" s="253">
        <v>0</v>
      </c>
      <c r="AW69" s="253">
        <v>0</v>
      </c>
      <c r="AX69" s="253">
        <v>0</v>
      </c>
      <c r="AY69" s="253">
        <v>0</v>
      </c>
      <c r="AZ69" s="253">
        <v>1</v>
      </c>
      <c r="BA69" s="245"/>
      <c r="BB69" s="253" t="s">
        <v>602</v>
      </c>
      <c r="BC69" s="253">
        <v>1886200</v>
      </c>
      <c r="BD69" s="253">
        <v>6</v>
      </c>
      <c r="BE69" s="253">
        <v>3</v>
      </c>
      <c r="BF69" s="253">
        <v>813</v>
      </c>
      <c r="BG69" s="253">
        <v>1</v>
      </c>
      <c r="BH69" s="247" t="s">
        <v>602</v>
      </c>
      <c r="BI69" s="253">
        <v>0</v>
      </c>
      <c r="BJ69" s="253">
        <v>0</v>
      </c>
      <c r="BK69" s="253">
        <v>0</v>
      </c>
      <c r="BL69" s="253">
        <v>41</v>
      </c>
      <c r="BM69" s="253">
        <v>1</v>
      </c>
      <c r="BN69" s="253"/>
      <c r="BO69" s="247"/>
      <c r="BP69" s="263">
        <v>126965673943.12498</v>
      </c>
      <c r="BQ69" s="263">
        <v>8066305</v>
      </c>
      <c r="BR69" s="263">
        <v>952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58</v>
      </c>
      <c r="H70" s="223">
        <v>26576.519849420001</v>
      </c>
      <c r="I70" s="164"/>
      <c r="J70" s="3"/>
      <c r="K70" s="228"/>
      <c r="L70" s="228"/>
      <c r="M70" s="228"/>
      <c r="O70" s="241" t="s">
        <v>58</v>
      </c>
      <c r="P70" s="241">
        <v>25740.485508649999</v>
      </c>
      <c r="Q70" s="239"/>
      <c r="R70" s="157"/>
      <c r="S70" s="253" t="s">
        <v>571</v>
      </c>
      <c r="T70" s="258">
        <v>0</v>
      </c>
      <c r="U70" s="258">
        <v>0</v>
      </c>
      <c r="V70" s="258">
        <v>0</v>
      </c>
      <c r="W70" s="258">
        <v>0</v>
      </c>
      <c r="X70" s="258">
        <v>1</v>
      </c>
      <c r="Y70" s="245"/>
      <c r="Z70" s="253" t="s">
        <v>597</v>
      </c>
      <c r="AA70" s="253">
        <v>0</v>
      </c>
      <c r="AB70" s="253">
        <v>0</v>
      </c>
      <c r="AC70" s="253">
        <v>0</v>
      </c>
      <c r="AD70" s="253">
        <v>0</v>
      </c>
      <c r="AE70" s="253">
        <v>1</v>
      </c>
      <c r="AF70" s="253"/>
      <c r="AG70" s="253" t="s">
        <v>597</v>
      </c>
      <c r="AH70" s="253">
        <v>0</v>
      </c>
      <c r="AI70" s="253">
        <v>0</v>
      </c>
      <c r="AJ70" s="253">
        <v>0</v>
      </c>
      <c r="AK70" s="253">
        <v>0</v>
      </c>
      <c r="AL70" s="253">
        <v>1</v>
      </c>
      <c r="AM70" s="245"/>
      <c r="AN70" s="253" t="s">
        <v>597</v>
      </c>
      <c r="AO70" s="253">
        <v>0</v>
      </c>
      <c r="AP70" s="253">
        <v>0</v>
      </c>
      <c r="AQ70" s="253">
        <v>0</v>
      </c>
      <c r="AR70" s="253">
        <v>0</v>
      </c>
      <c r="AS70" s="253">
        <v>1</v>
      </c>
      <c r="AT70" s="245"/>
      <c r="AU70" s="253" t="s">
        <v>597</v>
      </c>
      <c r="AV70" s="253">
        <v>0</v>
      </c>
      <c r="AW70" s="253">
        <v>0</v>
      </c>
      <c r="AX70" s="253">
        <v>0</v>
      </c>
      <c r="AY70" s="253">
        <v>0</v>
      </c>
      <c r="AZ70" s="253">
        <v>1</v>
      </c>
      <c r="BA70" s="245"/>
      <c r="BB70" s="253" t="s">
        <v>603</v>
      </c>
      <c r="BC70" s="253">
        <v>9123876085.2450008</v>
      </c>
      <c r="BD70" s="253">
        <v>38819</v>
      </c>
      <c r="BE70" s="253">
        <v>3398</v>
      </c>
      <c r="BF70" s="253">
        <v>315490</v>
      </c>
      <c r="BG70" s="253">
        <v>1</v>
      </c>
      <c r="BH70" s="247" t="s">
        <v>603</v>
      </c>
      <c r="BI70" s="253">
        <v>597442263.94500005</v>
      </c>
      <c r="BJ70" s="253">
        <v>2517</v>
      </c>
      <c r="BK70" s="253">
        <v>175</v>
      </c>
      <c r="BL70" s="253">
        <v>16628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51</v>
      </c>
      <c r="H71" s="223">
        <v>28907.968015570001</v>
      </c>
      <c r="I71" s="164"/>
      <c r="J71" s="3"/>
      <c r="K71" s="228"/>
      <c r="L71" s="228"/>
      <c r="M71" s="228"/>
      <c r="O71" s="241" t="s">
        <v>51</v>
      </c>
      <c r="P71" s="241">
        <v>28061.281621400001</v>
      </c>
      <c r="Q71" s="239"/>
      <c r="R71" s="157"/>
      <c r="S71" s="253" t="s">
        <v>451</v>
      </c>
      <c r="T71" s="258">
        <v>1147803286.8340001</v>
      </c>
      <c r="U71" s="258">
        <v>98460</v>
      </c>
      <c r="V71" s="258">
        <v>132</v>
      </c>
      <c r="W71" s="258">
        <v>409508</v>
      </c>
      <c r="X71" s="258">
        <v>1</v>
      </c>
      <c r="Y71" s="245"/>
      <c r="Z71" s="253" t="s">
        <v>598</v>
      </c>
      <c r="AA71" s="253">
        <v>39738625.100000001</v>
      </c>
      <c r="AB71" s="253">
        <v>370</v>
      </c>
      <c r="AC71" s="253">
        <v>21</v>
      </c>
      <c r="AD71" s="253">
        <v>3134</v>
      </c>
      <c r="AE71" s="253">
        <v>1</v>
      </c>
      <c r="AF71" s="253"/>
      <c r="AG71" s="253" t="s">
        <v>598</v>
      </c>
      <c r="AH71" s="253">
        <v>216000</v>
      </c>
      <c r="AI71" s="253">
        <v>2</v>
      </c>
      <c r="AJ71" s="253">
        <v>1</v>
      </c>
      <c r="AK71" s="253">
        <v>40</v>
      </c>
      <c r="AL71" s="253">
        <v>1</v>
      </c>
      <c r="AM71" s="245"/>
      <c r="AN71" s="253" t="s">
        <v>598</v>
      </c>
      <c r="AO71" s="253">
        <v>13075675</v>
      </c>
      <c r="AP71" s="253">
        <v>117</v>
      </c>
      <c r="AQ71" s="253">
        <v>20</v>
      </c>
      <c r="AR71" s="253">
        <v>6287</v>
      </c>
      <c r="AS71" s="253">
        <v>1</v>
      </c>
      <c r="AT71" s="245"/>
      <c r="AU71" s="253" t="s">
        <v>598</v>
      </c>
      <c r="AV71" s="253">
        <v>222300</v>
      </c>
      <c r="AW71" s="253">
        <v>2</v>
      </c>
      <c r="AX71" s="253">
        <v>1</v>
      </c>
      <c r="AY71" s="253">
        <v>312</v>
      </c>
      <c r="AZ71" s="253">
        <v>1</v>
      </c>
      <c r="BA71" s="245"/>
      <c r="BB71" s="253" t="s">
        <v>615</v>
      </c>
      <c r="BC71" s="253">
        <v>0</v>
      </c>
      <c r="BD71" s="253">
        <v>0</v>
      </c>
      <c r="BE71" s="253">
        <v>0</v>
      </c>
      <c r="BF71" s="253">
        <v>0</v>
      </c>
      <c r="BG71" s="253">
        <v>1</v>
      </c>
      <c r="BH71" s="247" t="s">
        <v>615</v>
      </c>
      <c r="BI71" s="253">
        <v>0</v>
      </c>
      <c r="BJ71" s="253">
        <v>0</v>
      </c>
      <c r="BK71" s="253">
        <v>0</v>
      </c>
      <c r="BL71" s="253">
        <v>0</v>
      </c>
      <c r="BM71" s="253">
        <v>1</v>
      </c>
      <c r="BN71" s="253"/>
      <c r="BO71" s="256" t="s">
        <v>494</v>
      </c>
      <c r="BP71" s="264" t="s">
        <v>617</v>
      </c>
      <c r="BQ71" s="264" t="s">
        <v>569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305</v>
      </c>
      <c r="H72" s="223">
        <v>16689.79</v>
      </c>
      <c r="I72" s="164"/>
      <c r="J72" s="3"/>
      <c r="K72" s="228"/>
      <c r="L72" s="228"/>
      <c r="M72" s="228"/>
      <c r="O72" s="241" t="s">
        <v>305</v>
      </c>
      <c r="P72" s="241">
        <v>17013.38</v>
      </c>
      <c r="Q72" s="239"/>
      <c r="R72" s="157"/>
      <c r="S72" s="253" t="s">
        <v>448</v>
      </c>
      <c r="T72" s="258">
        <v>4056514.6</v>
      </c>
      <c r="U72" s="258">
        <v>179070</v>
      </c>
      <c r="V72" s="258">
        <v>3049</v>
      </c>
      <c r="W72" s="258">
        <v>547622</v>
      </c>
      <c r="X72" s="258">
        <v>1</v>
      </c>
      <c r="Y72" s="245"/>
      <c r="Z72" s="253" t="s">
        <v>599</v>
      </c>
      <c r="AA72" s="253">
        <v>758001</v>
      </c>
      <c r="AB72" s="253">
        <v>10</v>
      </c>
      <c r="AC72" s="253">
        <v>6</v>
      </c>
      <c r="AD72" s="253">
        <v>1018</v>
      </c>
      <c r="AE72" s="253">
        <v>1</v>
      </c>
      <c r="AF72" s="253"/>
      <c r="AG72" s="253" t="s">
        <v>599</v>
      </c>
      <c r="AH72" s="253">
        <v>0</v>
      </c>
      <c r="AI72" s="253">
        <v>0</v>
      </c>
      <c r="AJ72" s="253">
        <v>0</v>
      </c>
      <c r="AK72" s="253">
        <v>50</v>
      </c>
      <c r="AL72" s="253">
        <v>1</v>
      </c>
      <c r="AM72" s="245"/>
      <c r="AN72" s="253" t="s">
        <v>599</v>
      </c>
      <c r="AO72" s="253">
        <v>0</v>
      </c>
      <c r="AP72" s="253">
        <v>0</v>
      </c>
      <c r="AQ72" s="253">
        <v>0</v>
      </c>
      <c r="AR72" s="253">
        <v>1000</v>
      </c>
      <c r="AS72" s="253">
        <v>1</v>
      </c>
      <c r="AT72" s="245"/>
      <c r="AU72" s="253" t="s">
        <v>599</v>
      </c>
      <c r="AV72" s="253">
        <v>0</v>
      </c>
      <c r="AW72" s="253">
        <v>0</v>
      </c>
      <c r="AX72" s="253">
        <v>0</v>
      </c>
      <c r="AY72" s="253">
        <v>50</v>
      </c>
      <c r="AZ72" s="253">
        <v>1</v>
      </c>
      <c r="BA72" s="245"/>
      <c r="BB72" s="253" t="s">
        <v>604</v>
      </c>
      <c r="BC72" s="253">
        <v>1108903416</v>
      </c>
      <c r="BD72" s="253">
        <v>2383</v>
      </c>
      <c r="BE72" s="253">
        <v>186</v>
      </c>
      <c r="BF72" s="253">
        <v>6701</v>
      </c>
      <c r="BG72" s="253">
        <v>1</v>
      </c>
      <c r="BH72" s="247" t="s">
        <v>604</v>
      </c>
      <c r="BI72" s="253">
        <v>57710479.100000001</v>
      </c>
      <c r="BJ72" s="253">
        <v>118</v>
      </c>
      <c r="BK72" s="253">
        <v>9</v>
      </c>
      <c r="BL72" s="253">
        <v>417</v>
      </c>
      <c r="BM72" s="253">
        <v>1</v>
      </c>
      <c r="BN72" s="253"/>
      <c r="BO72" s="247"/>
      <c r="BP72" s="263" t="s">
        <v>618</v>
      </c>
      <c r="BQ72" s="263">
        <v>3415060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550</v>
      </c>
      <c r="H73" s="223">
        <v>69799.818001210006</v>
      </c>
      <c r="I73" s="164"/>
      <c r="J73" s="3"/>
      <c r="K73" s="228"/>
      <c r="L73" s="228"/>
      <c r="M73" s="228"/>
      <c r="O73" s="241" t="s">
        <v>550</v>
      </c>
      <c r="P73" s="241">
        <v>65993.325976220003</v>
      </c>
      <c r="Q73" s="239"/>
      <c r="R73" s="157"/>
      <c r="S73" s="247" t="s">
        <v>182</v>
      </c>
      <c r="T73" s="247">
        <v>46631310.883000001</v>
      </c>
      <c r="U73" s="247">
        <v>272710</v>
      </c>
      <c r="V73" s="247">
        <v>259</v>
      </c>
      <c r="W73" s="247">
        <v>567276</v>
      </c>
      <c r="X73" s="247">
        <v>1</v>
      </c>
      <c r="Y73" s="245"/>
      <c r="Z73" s="253" t="s">
        <v>600</v>
      </c>
      <c r="AA73" s="253">
        <v>5900000</v>
      </c>
      <c r="AB73" s="253">
        <v>50</v>
      </c>
      <c r="AC73" s="253">
        <v>1</v>
      </c>
      <c r="AD73" s="253">
        <v>700</v>
      </c>
      <c r="AE73" s="253">
        <v>1</v>
      </c>
      <c r="AF73" s="253"/>
      <c r="AG73" s="253" t="s">
        <v>600</v>
      </c>
      <c r="AH73" s="253">
        <v>0</v>
      </c>
      <c r="AI73" s="253">
        <v>0</v>
      </c>
      <c r="AJ73" s="253">
        <v>0</v>
      </c>
      <c r="AK73" s="253">
        <v>80</v>
      </c>
      <c r="AL73" s="253">
        <v>1</v>
      </c>
      <c r="AM73" s="245"/>
      <c r="AN73" s="253" t="s">
        <v>600</v>
      </c>
      <c r="AO73" s="253">
        <v>3746824</v>
      </c>
      <c r="AP73" s="253">
        <v>31</v>
      </c>
      <c r="AQ73" s="253">
        <v>4</v>
      </c>
      <c r="AR73" s="253">
        <v>518</v>
      </c>
      <c r="AS73" s="253">
        <v>1</v>
      </c>
      <c r="AT73" s="245"/>
      <c r="AU73" s="253" t="s">
        <v>600</v>
      </c>
      <c r="AV73" s="253">
        <v>0</v>
      </c>
      <c r="AW73" s="253">
        <v>0</v>
      </c>
      <c r="AX73" s="253">
        <v>0</v>
      </c>
      <c r="AY73" s="253">
        <v>30</v>
      </c>
      <c r="AZ73" s="253">
        <v>1</v>
      </c>
      <c r="BA73" s="245"/>
      <c r="BB73" s="253" t="s">
        <v>605</v>
      </c>
      <c r="BC73" s="253">
        <v>96256319.939999998</v>
      </c>
      <c r="BD73" s="253">
        <v>192</v>
      </c>
      <c r="BE73" s="253">
        <v>27</v>
      </c>
      <c r="BF73" s="253">
        <v>516</v>
      </c>
      <c r="BG73" s="253">
        <v>1</v>
      </c>
      <c r="BH73" s="247" t="s">
        <v>605</v>
      </c>
      <c r="BI73" s="253">
        <v>0</v>
      </c>
      <c r="BJ73" s="253">
        <v>0</v>
      </c>
      <c r="BK73" s="253">
        <v>0</v>
      </c>
      <c r="BL73" s="253">
        <v>18</v>
      </c>
      <c r="BM73" s="253">
        <v>1</v>
      </c>
      <c r="BN73" s="253"/>
      <c r="BO73" s="247"/>
      <c r="BP73" s="263" t="s">
        <v>619</v>
      </c>
      <c r="BQ73" s="263">
        <v>2296716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101</v>
      </c>
      <c r="H74" s="223">
        <v>383.54746978999998</v>
      </c>
      <c r="I74" s="164"/>
      <c r="J74" s="3"/>
      <c r="K74" s="228"/>
      <c r="L74" s="228"/>
      <c r="M74" s="228"/>
      <c r="O74" s="241" t="s">
        <v>101</v>
      </c>
      <c r="P74" s="241">
        <v>375.97679903</v>
      </c>
      <c r="Q74" s="239"/>
      <c r="R74" s="157"/>
      <c r="S74" s="247" t="s">
        <v>446</v>
      </c>
      <c r="T74" s="247">
        <v>248156006051.21973</v>
      </c>
      <c r="U74" s="247">
        <v>718043</v>
      </c>
      <c r="V74" s="247">
        <v>198393</v>
      </c>
      <c r="W74" s="247">
        <v>562733</v>
      </c>
      <c r="X74" s="247">
        <v>1</v>
      </c>
      <c r="Y74" s="245"/>
      <c r="Z74" s="253" t="s">
        <v>601</v>
      </c>
      <c r="AA74" s="253">
        <v>0</v>
      </c>
      <c r="AB74" s="253">
        <v>0</v>
      </c>
      <c r="AC74" s="253">
        <v>0</v>
      </c>
      <c r="AD74" s="253">
        <v>0</v>
      </c>
      <c r="AE74" s="253">
        <v>1</v>
      </c>
      <c r="AF74" s="253"/>
      <c r="AG74" s="253" t="s">
        <v>601</v>
      </c>
      <c r="AH74" s="253">
        <v>0</v>
      </c>
      <c r="AI74" s="253">
        <v>0</v>
      </c>
      <c r="AJ74" s="253">
        <v>0</v>
      </c>
      <c r="AK74" s="253">
        <v>0</v>
      </c>
      <c r="AL74" s="253">
        <v>1</v>
      </c>
      <c r="AM74" s="245"/>
      <c r="AN74" s="253" t="s">
        <v>601</v>
      </c>
      <c r="AO74" s="253">
        <v>0</v>
      </c>
      <c r="AP74" s="253">
        <v>0</v>
      </c>
      <c r="AQ74" s="253">
        <v>0</v>
      </c>
      <c r="AR74" s="253">
        <v>0</v>
      </c>
      <c r="AS74" s="253">
        <v>1</v>
      </c>
      <c r="AT74" s="245"/>
      <c r="AU74" s="253" t="s">
        <v>601</v>
      </c>
      <c r="AV74" s="253">
        <v>0</v>
      </c>
      <c r="AW74" s="253">
        <v>0</v>
      </c>
      <c r="AX74" s="253">
        <v>0</v>
      </c>
      <c r="AY74" s="253">
        <v>0</v>
      </c>
      <c r="AZ74" s="253">
        <v>1</v>
      </c>
      <c r="BA74" s="245"/>
      <c r="BB74" s="253" t="s">
        <v>606</v>
      </c>
      <c r="BC74" s="253">
        <v>33809794.987499997</v>
      </c>
      <c r="BD74" s="253">
        <v>159</v>
      </c>
      <c r="BE74" s="253">
        <v>17</v>
      </c>
      <c r="BF74" s="253">
        <v>952</v>
      </c>
      <c r="BG74" s="253">
        <v>1</v>
      </c>
      <c r="BH74" s="247" t="s">
        <v>606</v>
      </c>
      <c r="BI74" s="253">
        <v>0</v>
      </c>
      <c r="BJ74" s="253">
        <v>0</v>
      </c>
      <c r="BK74" s="253">
        <v>0</v>
      </c>
      <c r="BL74" s="253">
        <v>53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103</v>
      </c>
      <c r="H75" s="223">
        <v>689.82168394999997</v>
      </c>
      <c r="I75" s="164"/>
      <c r="J75" s="3"/>
      <c r="K75" s="228"/>
      <c r="L75" s="228"/>
      <c r="M75" s="228"/>
      <c r="O75" s="241" t="s">
        <v>103</v>
      </c>
      <c r="P75" s="241">
        <v>655.61778672000003</v>
      </c>
      <c r="Q75" s="239"/>
      <c r="S75" s="254" t="s">
        <v>449</v>
      </c>
      <c r="T75" s="257">
        <v>856031493.97819996</v>
      </c>
      <c r="U75" s="257">
        <v>866011</v>
      </c>
      <c r="V75" s="257">
        <v>71</v>
      </c>
      <c r="W75" s="257">
        <v>3019362</v>
      </c>
      <c r="X75" s="257">
        <v>1</v>
      </c>
      <c r="Y75" s="245"/>
      <c r="Z75" s="253" t="s">
        <v>602</v>
      </c>
      <c r="AA75" s="253">
        <v>0</v>
      </c>
      <c r="AB75" s="253">
        <v>0</v>
      </c>
      <c r="AC75" s="253">
        <v>0</v>
      </c>
      <c r="AD75" s="253">
        <v>0</v>
      </c>
      <c r="AE75" s="253">
        <v>1</v>
      </c>
      <c r="AF75" s="253"/>
      <c r="AG75" s="253" t="s">
        <v>602</v>
      </c>
      <c r="AH75" s="253">
        <v>0</v>
      </c>
      <c r="AI75" s="253">
        <v>0</v>
      </c>
      <c r="AJ75" s="253">
        <v>0</v>
      </c>
      <c r="AK75" s="253">
        <v>0</v>
      </c>
      <c r="AL75" s="253">
        <v>1</v>
      </c>
      <c r="AM75" s="245"/>
      <c r="AN75" s="253" t="s">
        <v>602</v>
      </c>
      <c r="AO75" s="253">
        <v>0</v>
      </c>
      <c r="AP75" s="253">
        <v>0</v>
      </c>
      <c r="AQ75" s="253">
        <v>0</v>
      </c>
      <c r="AR75" s="253">
        <v>0</v>
      </c>
      <c r="AS75" s="253">
        <v>1</v>
      </c>
      <c r="AT75" s="245"/>
      <c r="AU75" s="253" t="s">
        <v>602</v>
      </c>
      <c r="AV75" s="253">
        <v>0</v>
      </c>
      <c r="AW75" s="253">
        <v>0</v>
      </c>
      <c r="AX75" s="253">
        <v>0</v>
      </c>
      <c r="AY75" s="253">
        <v>0</v>
      </c>
      <c r="AZ75" s="253">
        <v>1</v>
      </c>
      <c r="BA75" s="245"/>
      <c r="BB75" s="253" t="s">
        <v>607</v>
      </c>
      <c r="BC75" s="253">
        <v>42671500</v>
      </c>
      <c r="BD75" s="253">
        <v>812</v>
      </c>
      <c r="BE75" s="253">
        <v>11</v>
      </c>
      <c r="BF75" s="253">
        <v>2140</v>
      </c>
      <c r="BG75" s="253">
        <v>1</v>
      </c>
      <c r="BH75" s="247" t="s">
        <v>607</v>
      </c>
      <c r="BI75" s="253">
        <v>0</v>
      </c>
      <c r="BJ75" s="253">
        <v>0</v>
      </c>
      <c r="BK75" s="253">
        <v>0</v>
      </c>
      <c r="BL75" s="253">
        <v>18</v>
      </c>
      <c r="BM75" s="253">
        <v>1</v>
      </c>
      <c r="BN75" s="253"/>
      <c r="BO75" s="256" t="s">
        <v>478</v>
      </c>
      <c r="BP75" s="264" t="s">
        <v>566</v>
      </c>
      <c r="BQ75" s="264" t="s">
        <v>567</v>
      </c>
      <c r="BR75" s="264" t="s">
        <v>568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306</v>
      </c>
      <c r="H76" s="223">
        <v>5314.68415155</v>
      </c>
      <c r="I76" s="164"/>
      <c r="J76" s="3"/>
      <c r="K76" s="228"/>
      <c r="L76" s="228"/>
      <c r="M76" s="228"/>
      <c r="O76" s="241" t="s">
        <v>306</v>
      </c>
      <c r="P76" s="241">
        <v>5183.3455572599996</v>
      </c>
      <c r="Q76" s="239"/>
      <c r="R76" s="157"/>
      <c r="S76" s="253" t="s">
        <v>450</v>
      </c>
      <c r="T76" s="258">
        <v>0</v>
      </c>
      <c r="U76" s="258">
        <v>1152764</v>
      </c>
      <c r="V76" s="258">
        <v>50</v>
      </c>
      <c r="W76" s="258">
        <v>2782263</v>
      </c>
      <c r="X76" s="258">
        <v>1</v>
      </c>
      <c r="Y76" s="245"/>
      <c r="Z76" s="253" t="s">
        <v>603</v>
      </c>
      <c r="AA76" s="253">
        <v>11442017924.58</v>
      </c>
      <c r="AB76" s="253">
        <v>47246</v>
      </c>
      <c r="AC76" s="253">
        <v>2887</v>
      </c>
      <c r="AD76" s="253">
        <v>274160</v>
      </c>
      <c r="AE76" s="253">
        <v>1</v>
      </c>
      <c r="AF76" s="253"/>
      <c r="AG76" s="253" t="s">
        <v>603</v>
      </c>
      <c r="AH76" s="253">
        <v>1160829321.385</v>
      </c>
      <c r="AI76" s="253">
        <v>4883</v>
      </c>
      <c r="AJ76" s="253">
        <v>207</v>
      </c>
      <c r="AK76" s="253">
        <v>14946</v>
      </c>
      <c r="AL76" s="253">
        <v>1</v>
      </c>
      <c r="AM76" s="245"/>
      <c r="AN76" s="253" t="s">
        <v>603</v>
      </c>
      <c r="AO76" s="253">
        <v>7263526145.2600002</v>
      </c>
      <c r="AP76" s="253">
        <v>29583</v>
      </c>
      <c r="AQ76" s="253">
        <v>1991</v>
      </c>
      <c r="AR76" s="253">
        <v>226697</v>
      </c>
      <c r="AS76" s="253">
        <v>1</v>
      </c>
      <c r="AT76" s="245"/>
      <c r="AU76" s="253" t="s">
        <v>603</v>
      </c>
      <c r="AV76" s="253">
        <v>164601425.08000001</v>
      </c>
      <c r="AW76" s="253">
        <v>674</v>
      </c>
      <c r="AX76" s="253">
        <v>79</v>
      </c>
      <c r="AY76" s="253">
        <v>11628</v>
      </c>
      <c r="AZ76" s="253">
        <v>1</v>
      </c>
      <c r="BA76" s="245"/>
      <c r="BB76" s="253" t="s">
        <v>608</v>
      </c>
      <c r="BC76" s="253">
        <v>236320</v>
      </c>
      <c r="BD76" s="253">
        <v>18</v>
      </c>
      <c r="BE76" s="253">
        <v>2</v>
      </c>
      <c r="BF76" s="253">
        <v>1464</v>
      </c>
      <c r="BG76" s="253">
        <v>1</v>
      </c>
      <c r="BH76" s="245" t="s">
        <v>608</v>
      </c>
      <c r="BI76" s="253">
        <v>236320</v>
      </c>
      <c r="BJ76" s="253">
        <v>18</v>
      </c>
      <c r="BK76" s="253">
        <v>2</v>
      </c>
      <c r="BL76" s="253">
        <v>60</v>
      </c>
      <c r="BM76" s="253">
        <v>1</v>
      </c>
      <c r="BN76" s="253"/>
      <c r="BO76" s="247"/>
      <c r="BP76" s="263">
        <v>226374687771.77695</v>
      </c>
      <c r="BQ76" s="263">
        <v>885625</v>
      </c>
      <c r="BR76" s="263">
        <v>122325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307</v>
      </c>
      <c r="H77" s="223">
        <v>226.62980686</v>
      </c>
      <c r="I77" s="164"/>
      <c r="J77" s="3"/>
      <c r="K77" s="228"/>
      <c r="L77" s="228"/>
      <c r="M77" s="228"/>
      <c r="O77" s="241" t="s">
        <v>307</v>
      </c>
      <c r="P77" s="241">
        <v>213.71906496</v>
      </c>
      <c r="Q77" s="239"/>
      <c r="R77" s="157"/>
      <c r="S77" s="253" t="s">
        <v>447</v>
      </c>
      <c r="T77" s="258">
        <v>4676248925.1680002</v>
      </c>
      <c r="U77" s="258">
        <v>314834</v>
      </c>
      <c r="V77" s="258">
        <v>3238</v>
      </c>
      <c r="W77" s="258">
        <v>774646</v>
      </c>
      <c r="X77" s="258">
        <v>1</v>
      </c>
      <c r="Y77" s="245"/>
      <c r="Z77" s="253" t="s">
        <v>615</v>
      </c>
      <c r="AA77" s="253">
        <v>0</v>
      </c>
      <c r="AB77" s="253">
        <v>0</v>
      </c>
      <c r="AC77" s="253">
        <v>0</v>
      </c>
      <c r="AD77" s="253">
        <v>0</v>
      </c>
      <c r="AE77" s="253">
        <v>1</v>
      </c>
      <c r="AF77" s="253"/>
      <c r="AG77" s="253" t="s">
        <v>615</v>
      </c>
      <c r="AH77" s="253">
        <v>0</v>
      </c>
      <c r="AI77" s="253">
        <v>0</v>
      </c>
      <c r="AJ77" s="253">
        <v>0</v>
      </c>
      <c r="AK77" s="253">
        <v>0</v>
      </c>
      <c r="AL77" s="253">
        <v>1</v>
      </c>
      <c r="AM77" s="245"/>
      <c r="AN77" s="253" t="s">
        <v>615</v>
      </c>
      <c r="AO77" s="253">
        <v>0</v>
      </c>
      <c r="AP77" s="253">
        <v>0</v>
      </c>
      <c r="AQ77" s="253">
        <v>0</v>
      </c>
      <c r="AR77" s="253">
        <v>0</v>
      </c>
      <c r="AS77" s="253">
        <v>1</v>
      </c>
      <c r="AT77" s="245"/>
      <c r="AU77" s="253" t="s">
        <v>615</v>
      </c>
      <c r="AV77" s="253">
        <v>0</v>
      </c>
      <c r="AW77" s="253">
        <v>0</v>
      </c>
      <c r="AX77" s="253">
        <v>0</v>
      </c>
      <c r="AY77" s="253">
        <v>0</v>
      </c>
      <c r="AZ77" s="253">
        <v>1</v>
      </c>
      <c r="BA77" s="245"/>
      <c r="BB77" s="253" t="s">
        <v>609</v>
      </c>
      <c r="BC77" s="253">
        <v>5936392758.1999998</v>
      </c>
      <c r="BD77" s="253">
        <v>25517</v>
      </c>
      <c r="BE77" s="253">
        <v>2417</v>
      </c>
      <c r="BF77" s="253">
        <v>117785</v>
      </c>
      <c r="BG77" s="253">
        <v>1</v>
      </c>
      <c r="BH77" s="245" t="s">
        <v>609</v>
      </c>
      <c r="BI77" s="253">
        <v>186291492.155</v>
      </c>
      <c r="BJ77" s="253">
        <v>811</v>
      </c>
      <c r="BK77" s="253">
        <v>91</v>
      </c>
      <c r="BL77" s="253">
        <v>7096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43348</v>
      </c>
      <c r="D78" s="190">
        <v>76814.837934449999</v>
      </c>
      <c r="E78" s="223">
        <v>1</v>
      </c>
      <c r="F78" s="209"/>
      <c r="G78" s="223" t="s">
        <v>308</v>
      </c>
      <c r="H78" s="223">
        <v>7057.6829251700001</v>
      </c>
      <c r="I78" s="164"/>
      <c r="J78" s="63"/>
      <c r="K78" s="228"/>
      <c r="L78" s="228"/>
      <c r="M78" s="228"/>
      <c r="O78" s="241" t="s">
        <v>308</v>
      </c>
      <c r="P78" s="241">
        <v>6921.6298439499997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604</v>
      </c>
      <c r="AA78" s="253">
        <v>111354650.12</v>
      </c>
      <c r="AB78" s="253">
        <v>237</v>
      </c>
      <c r="AC78" s="253">
        <v>64</v>
      </c>
      <c r="AD78" s="253">
        <v>3940</v>
      </c>
      <c r="AE78" s="253">
        <v>1</v>
      </c>
      <c r="AF78" s="253"/>
      <c r="AG78" s="253" t="s">
        <v>604</v>
      </c>
      <c r="AH78" s="253">
        <v>12369940.01</v>
      </c>
      <c r="AI78" s="253">
        <v>27</v>
      </c>
      <c r="AJ78" s="253">
        <v>4</v>
      </c>
      <c r="AK78" s="253">
        <v>207</v>
      </c>
      <c r="AL78" s="253">
        <v>1</v>
      </c>
      <c r="AM78" s="245"/>
      <c r="AN78" s="253" t="s">
        <v>604</v>
      </c>
      <c r="AO78" s="253">
        <v>218405725.97</v>
      </c>
      <c r="AP78" s="253">
        <v>451</v>
      </c>
      <c r="AQ78" s="253">
        <v>65</v>
      </c>
      <c r="AR78" s="253">
        <v>2692</v>
      </c>
      <c r="AS78" s="253">
        <v>1</v>
      </c>
      <c r="AT78" s="245"/>
      <c r="AU78" s="253" t="s">
        <v>604</v>
      </c>
      <c r="AV78" s="253">
        <v>149668800.00999999</v>
      </c>
      <c r="AW78" s="253">
        <v>309</v>
      </c>
      <c r="AX78" s="253">
        <v>13</v>
      </c>
      <c r="AY78" s="253">
        <v>203</v>
      </c>
      <c r="AZ78" s="253">
        <v>1</v>
      </c>
      <c r="BA78" s="245"/>
      <c r="BB78" s="253" t="s">
        <v>610</v>
      </c>
      <c r="BC78" s="253">
        <v>10836958315.269991</v>
      </c>
      <c r="BD78" s="253">
        <v>53071</v>
      </c>
      <c r="BE78" s="253">
        <v>9833</v>
      </c>
      <c r="BF78" s="253">
        <v>595579</v>
      </c>
      <c r="BG78" s="253">
        <v>1</v>
      </c>
      <c r="BH78" s="245" t="s">
        <v>610</v>
      </c>
      <c r="BI78" s="253">
        <v>478997009.13998997</v>
      </c>
      <c r="BJ78" s="253">
        <v>2299</v>
      </c>
      <c r="BK78" s="253">
        <v>665</v>
      </c>
      <c r="BL78" s="253">
        <v>33529</v>
      </c>
      <c r="BM78" s="253">
        <v>1</v>
      </c>
      <c r="BN78" s="253"/>
      <c r="BO78" s="256" t="s">
        <v>497</v>
      </c>
      <c r="BP78" s="264" t="s">
        <v>566</v>
      </c>
      <c r="BQ78" s="264" t="s">
        <v>567</v>
      </c>
      <c r="BR78" s="264" t="s">
        <v>568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309</v>
      </c>
      <c r="H79" s="223">
        <v>14.068719550000001</v>
      </c>
      <c r="I79" s="164"/>
      <c r="J79" s="63"/>
      <c r="K79" s="228"/>
      <c r="L79" s="228"/>
      <c r="M79" s="228"/>
      <c r="O79" s="241" t="s">
        <v>309</v>
      </c>
      <c r="P79" s="241">
        <v>12.90204525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605</v>
      </c>
      <c r="AA79" s="253">
        <v>226606459.88</v>
      </c>
      <c r="AB79" s="253">
        <v>467</v>
      </c>
      <c r="AC79" s="253">
        <v>12</v>
      </c>
      <c r="AD79" s="253">
        <v>3143</v>
      </c>
      <c r="AE79" s="253">
        <v>1</v>
      </c>
      <c r="AF79" s="253"/>
      <c r="AG79" s="253" t="s">
        <v>605</v>
      </c>
      <c r="AH79" s="253">
        <v>0</v>
      </c>
      <c r="AI79" s="253">
        <v>0</v>
      </c>
      <c r="AJ79" s="253">
        <v>0</v>
      </c>
      <c r="AK79" s="253">
        <v>0</v>
      </c>
      <c r="AL79" s="253">
        <v>1</v>
      </c>
      <c r="AM79" s="245"/>
      <c r="AN79" s="253" t="s">
        <v>605</v>
      </c>
      <c r="AO79" s="253">
        <v>357012022.81</v>
      </c>
      <c r="AP79" s="253">
        <v>715</v>
      </c>
      <c r="AQ79" s="253">
        <v>34</v>
      </c>
      <c r="AR79" s="253">
        <v>4507</v>
      </c>
      <c r="AS79" s="253">
        <v>1</v>
      </c>
      <c r="AT79" s="245"/>
      <c r="AU79" s="253" t="s">
        <v>605</v>
      </c>
      <c r="AV79" s="253">
        <v>2017520</v>
      </c>
      <c r="AW79" s="253">
        <v>4</v>
      </c>
      <c r="AX79" s="253">
        <v>1</v>
      </c>
      <c r="AY79" s="253">
        <v>365</v>
      </c>
      <c r="AZ79" s="253">
        <v>1</v>
      </c>
      <c r="BA79" s="245"/>
      <c r="BB79" s="253" t="s">
        <v>611</v>
      </c>
      <c r="BC79" s="253">
        <v>7802614934.0200005</v>
      </c>
      <c r="BD79" s="253">
        <v>36613</v>
      </c>
      <c r="BE79" s="253">
        <v>6570</v>
      </c>
      <c r="BF79" s="253">
        <v>402224</v>
      </c>
      <c r="BG79" s="253">
        <v>1</v>
      </c>
      <c r="BH79" s="245" t="s">
        <v>611</v>
      </c>
      <c r="BI79" s="253">
        <v>361856653.29000002</v>
      </c>
      <c r="BJ79" s="253">
        <v>1661</v>
      </c>
      <c r="BK79" s="253">
        <v>398</v>
      </c>
      <c r="BL79" s="253">
        <v>22162</v>
      </c>
      <c r="BM79" s="253">
        <v>1</v>
      </c>
      <c r="BN79" s="253"/>
      <c r="BO79" s="251"/>
      <c r="BP79" s="263">
        <v>2752939400.3799901</v>
      </c>
      <c r="BQ79" s="263">
        <v>136536</v>
      </c>
      <c r="BR79" s="263">
        <v>13076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311</v>
      </c>
      <c r="H80" s="223">
        <v>1046.90346905</v>
      </c>
      <c r="I80" s="164"/>
      <c r="J80" s="3"/>
      <c r="K80" s="228"/>
      <c r="L80" s="228"/>
      <c r="M80" s="228"/>
      <c r="O80" s="241" t="s">
        <v>311</v>
      </c>
      <c r="P80" s="241">
        <v>1045.4053244199999</v>
      </c>
      <c r="Q80" s="239"/>
      <c r="R80" s="153" t="s">
        <v>457</v>
      </c>
      <c r="S80" s="253" t="s">
        <v>565</v>
      </c>
      <c r="T80" s="258" t="s">
        <v>566</v>
      </c>
      <c r="U80" s="258" t="s">
        <v>567</v>
      </c>
      <c r="V80" s="258" t="s">
        <v>568</v>
      </c>
      <c r="W80" s="258" t="s">
        <v>569</v>
      </c>
      <c r="X80" s="258" t="s">
        <v>570</v>
      </c>
      <c r="Y80" s="245"/>
      <c r="Z80" s="245" t="s">
        <v>606</v>
      </c>
      <c r="AA80" s="245">
        <v>0</v>
      </c>
      <c r="AB80" s="245">
        <v>0</v>
      </c>
      <c r="AC80" s="245">
        <v>0</v>
      </c>
      <c r="AD80" s="245">
        <v>0</v>
      </c>
      <c r="AE80" s="245">
        <v>1</v>
      </c>
      <c r="AF80" s="245"/>
      <c r="AG80" s="245" t="s">
        <v>606</v>
      </c>
      <c r="AH80" s="245">
        <v>0</v>
      </c>
      <c r="AI80" s="245">
        <v>0</v>
      </c>
      <c r="AJ80" s="245">
        <v>0</v>
      </c>
      <c r="AK80" s="245">
        <v>0</v>
      </c>
      <c r="AL80" s="245">
        <v>1</v>
      </c>
      <c r="AM80" s="245"/>
      <c r="AN80" s="245" t="s">
        <v>606</v>
      </c>
      <c r="AO80" s="245">
        <v>12152066.005000001</v>
      </c>
      <c r="AP80" s="245">
        <v>52</v>
      </c>
      <c r="AQ80" s="245">
        <v>5</v>
      </c>
      <c r="AR80" s="245">
        <v>132</v>
      </c>
      <c r="AS80" s="245">
        <v>1</v>
      </c>
      <c r="AT80" s="245"/>
      <c r="AU80" s="245" t="s">
        <v>606</v>
      </c>
      <c r="AV80" s="245">
        <v>0</v>
      </c>
      <c r="AW80" s="245">
        <v>0</v>
      </c>
      <c r="AX80" s="245">
        <v>0</v>
      </c>
      <c r="AY80" s="245">
        <v>0</v>
      </c>
      <c r="AZ80" s="245">
        <v>1</v>
      </c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312</v>
      </c>
      <c r="H81" s="223">
        <v>7120.1651321199997</v>
      </c>
      <c r="I81" s="164"/>
      <c r="J81" s="3"/>
      <c r="K81" s="228"/>
      <c r="L81" s="228"/>
      <c r="M81" s="228"/>
      <c r="O81" s="241" t="s">
        <v>312</v>
      </c>
      <c r="P81" s="241">
        <v>7639.7285180400004</v>
      </c>
      <c r="Q81" s="239"/>
      <c r="R81" s="157"/>
      <c r="S81" s="253" t="s">
        <v>571</v>
      </c>
      <c r="T81" s="258">
        <v>0</v>
      </c>
      <c r="U81" s="258">
        <v>0</v>
      </c>
      <c r="V81" s="258">
        <v>0</v>
      </c>
      <c r="W81" s="258">
        <v>0</v>
      </c>
      <c r="X81" s="258">
        <v>0</v>
      </c>
      <c r="Y81" s="245"/>
      <c r="Z81" s="245" t="s">
        <v>607</v>
      </c>
      <c r="AA81" s="245">
        <v>440850</v>
      </c>
      <c r="AB81" s="245">
        <v>10</v>
      </c>
      <c r="AC81" s="245">
        <v>3</v>
      </c>
      <c r="AD81" s="245">
        <v>8110</v>
      </c>
      <c r="AE81" s="245">
        <v>1</v>
      </c>
      <c r="AF81" s="245"/>
      <c r="AG81" s="245" t="s">
        <v>607</v>
      </c>
      <c r="AH81" s="245">
        <v>217500</v>
      </c>
      <c r="AI81" s="245">
        <v>5</v>
      </c>
      <c r="AJ81" s="245">
        <v>1</v>
      </c>
      <c r="AK81" s="245">
        <v>407</v>
      </c>
      <c r="AL81" s="245">
        <v>1</v>
      </c>
      <c r="AM81" s="245"/>
      <c r="AN81" s="245" t="s">
        <v>607</v>
      </c>
      <c r="AO81" s="245">
        <v>12420600</v>
      </c>
      <c r="AP81" s="245">
        <v>290</v>
      </c>
      <c r="AQ81" s="245">
        <v>21</v>
      </c>
      <c r="AR81" s="245">
        <v>7322</v>
      </c>
      <c r="AS81" s="245">
        <v>1</v>
      </c>
      <c r="AT81" s="245"/>
      <c r="AU81" s="245" t="s">
        <v>607</v>
      </c>
      <c r="AV81" s="245">
        <v>0</v>
      </c>
      <c r="AW81" s="245">
        <v>0</v>
      </c>
      <c r="AX81" s="245">
        <v>0</v>
      </c>
      <c r="AY81" s="245">
        <v>407</v>
      </c>
      <c r="AZ81" s="245">
        <v>1</v>
      </c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56" t="s">
        <v>479</v>
      </c>
      <c r="BP81" s="264" t="s">
        <v>566</v>
      </c>
      <c r="BQ81" s="264" t="s">
        <v>567</v>
      </c>
      <c r="BR81" s="264" t="s">
        <v>568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313</v>
      </c>
      <c r="H82" s="223">
        <v>1327.4132300900001</v>
      </c>
      <c r="I82" s="164"/>
      <c r="J82" s="157"/>
      <c r="K82" s="228"/>
      <c r="L82" s="228"/>
      <c r="M82" s="228"/>
      <c r="O82" s="241" t="s">
        <v>313</v>
      </c>
      <c r="P82" s="241">
        <v>1352.20621119</v>
      </c>
      <c r="Q82" s="239"/>
      <c r="R82" s="157"/>
      <c r="S82" s="253" t="s">
        <v>451</v>
      </c>
      <c r="T82" s="258">
        <v>0</v>
      </c>
      <c r="U82" s="258">
        <v>0</v>
      </c>
      <c r="V82" s="258">
        <v>0</v>
      </c>
      <c r="W82" s="258">
        <v>189023</v>
      </c>
      <c r="X82" s="258">
        <v>0</v>
      </c>
      <c r="Y82" s="245"/>
      <c r="Z82" s="245" t="s">
        <v>608</v>
      </c>
      <c r="AA82" s="245">
        <v>1110480</v>
      </c>
      <c r="AB82" s="245">
        <v>75</v>
      </c>
      <c r="AC82" s="245">
        <v>4</v>
      </c>
      <c r="AD82" s="245">
        <v>625</v>
      </c>
      <c r="AE82" s="245">
        <v>1</v>
      </c>
      <c r="AF82" s="245"/>
      <c r="AG82" s="245" t="s">
        <v>608</v>
      </c>
      <c r="AH82" s="245">
        <v>0</v>
      </c>
      <c r="AI82" s="245">
        <v>0</v>
      </c>
      <c r="AJ82" s="245">
        <v>0</v>
      </c>
      <c r="AK82" s="245">
        <v>95</v>
      </c>
      <c r="AL82" s="245">
        <v>1</v>
      </c>
      <c r="AM82" s="245"/>
      <c r="AN82" s="245" t="s">
        <v>608</v>
      </c>
      <c r="AO82" s="245">
        <v>70000</v>
      </c>
      <c r="AP82" s="245">
        <v>5</v>
      </c>
      <c r="AQ82" s="245">
        <v>1</v>
      </c>
      <c r="AR82" s="245">
        <v>435</v>
      </c>
      <c r="AS82" s="245">
        <v>1</v>
      </c>
      <c r="AT82" s="245"/>
      <c r="AU82" s="245" t="s">
        <v>608</v>
      </c>
      <c r="AV82" s="245">
        <v>0</v>
      </c>
      <c r="AW82" s="245">
        <v>0</v>
      </c>
      <c r="AX82" s="245">
        <v>0</v>
      </c>
      <c r="AY82" s="245">
        <v>20</v>
      </c>
      <c r="AZ82" s="245">
        <v>1</v>
      </c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7"/>
      <c r="BP82" s="263">
        <v>179578670665.74997</v>
      </c>
      <c r="BQ82" s="263">
        <v>893680</v>
      </c>
      <c r="BR82" s="263">
        <v>125064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60</v>
      </c>
      <c r="H83" s="223">
        <v>11377.121684629999</v>
      </c>
      <c r="I83" s="164"/>
      <c r="J83" s="157"/>
      <c r="K83" s="228"/>
      <c r="L83" s="228"/>
      <c r="M83" s="228"/>
      <c r="O83" s="241" t="s">
        <v>60</v>
      </c>
      <c r="P83" s="241">
        <v>10765.798946880001</v>
      </c>
      <c r="Q83" s="239"/>
      <c r="R83" s="157"/>
      <c r="S83" s="253" t="s">
        <v>448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 t="s">
        <v>609</v>
      </c>
      <c r="AA83" s="245">
        <v>2812798913.4850001</v>
      </c>
      <c r="AB83" s="245">
        <v>11021</v>
      </c>
      <c r="AC83" s="245">
        <v>2823</v>
      </c>
      <c r="AD83" s="245">
        <v>60237</v>
      </c>
      <c r="AE83" s="245">
        <v>1</v>
      </c>
      <c r="AF83" s="245"/>
      <c r="AG83" s="245" t="s">
        <v>609</v>
      </c>
      <c r="AH83" s="245">
        <v>143770103.83500001</v>
      </c>
      <c r="AI83" s="245">
        <v>567</v>
      </c>
      <c r="AJ83" s="245">
        <v>100</v>
      </c>
      <c r="AK83" s="245">
        <v>3303</v>
      </c>
      <c r="AL83" s="245">
        <v>1</v>
      </c>
      <c r="AM83" s="245"/>
      <c r="AN83" s="245" t="s">
        <v>609</v>
      </c>
      <c r="AO83" s="245">
        <v>2032510190.05</v>
      </c>
      <c r="AP83" s="245">
        <v>7476</v>
      </c>
      <c r="AQ83" s="245">
        <v>1573</v>
      </c>
      <c r="AR83" s="245">
        <v>56641</v>
      </c>
      <c r="AS83" s="245">
        <v>1</v>
      </c>
      <c r="AT83" s="245"/>
      <c r="AU83" s="245" t="s">
        <v>609</v>
      </c>
      <c r="AV83" s="245">
        <v>140410198.35499999</v>
      </c>
      <c r="AW83" s="245">
        <v>519</v>
      </c>
      <c r="AX83" s="245">
        <v>69</v>
      </c>
      <c r="AY83" s="245">
        <v>2636</v>
      </c>
      <c r="AZ83" s="245">
        <v>1</v>
      </c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53</v>
      </c>
      <c r="H84" s="223">
        <v>12585.66219202</v>
      </c>
      <c r="I84" s="164"/>
      <c r="J84" s="157"/>
      <c r="K84" s="228"/>
      <c r="L84" s="228"/>
      <c r="M84" s="228"/>
      <c r="O84" s="241" t="s">
        <v>53</v>
      </c>
      <c r="P84" s="241">
        <v>11981.141369819999</v>
      </c>
      <c r="Q84" s="239"/>
      <c r="R84" s="157"/>
      <c r="S84" s="253" t="s">
        <v>446</v>
      </c>
      <c r="T84" s="258">
        <v>0</v>
      </c>
      <c r="U84" s="258">
        <v>0</v>
      </c>
      <c r="V84" s="258">
        <v>0</v>
      </c>
      <c r="W84" s="258">
        <v>854378</v>
      </c>
      <c r="X84" s="258">
        <v>0</v>
      </c>
      <c r="Y84" s="245"/>
      <c r="Z84" s="245" t="s">
        <v>610</v>
      </c>
      <c r="AA84" s="245">
        <v>17276618607.27</v>
      </c>
      <c r="AB84" s="245">
        <v>63244</v>
      </c>
      <c r="AC84" s="245">
        <v>10456</v>
      </c>
      <c r="AD84" s="245">
        <v>432740</v>
      </c>
      <c r="AE84" s="245">
        <v>1</v>
      </c>
      <c r="AF84" s="245"/>
      <c r="AG84" s="245" t="s">
        <v>610</v>
      </c>
      <c r="AH84" s="245">
        <v>949753783.13999999</v>
      </c>
      <c r="AI84" s="245">
        <v>3601</v>
      </c>
      <c r="AJ84" s="245">
        <v>431</v>
      </c>
      <c r="AK84" s="245">
        <v>21940</v>
      </c>
      <c r="AL84" s="245">
        <v>1</v>
      </c>
      <c r="AM84" s="245"/>
      <c r="AN84" s="245" t="s">
        <v>610</v>
      </c>
      <c r="AO84" s="245">
        <v>19977920636.80999</v>
      </c>
      <c r="AP84" s="245">
        <v>66378</v>
      </c>
      <c r="AQ84" s="245">
        <v>10611</v>
      </c>
      <c r="AR84" s="245">
        <v>447600</v>
      </c>
      <c r="AS84" s="245">
        <v>1</v>
      </c>
      <c r="AT84" s="245"/>
      <c r="AU84" s="245" t="s">
        <v>610</v>
      </c>
      <c r="AV84" s="245">
        <v>529830815.19999999</v>
      </c>
      <c r="AW84" s="245">
        <v>1815</v>
      </c>
      <c r="AX84" s="245">
        <v>348</v>
      </c>
      <c r="AY84" s="245">
        <v>21767</v>
      </c>
      <c r="AZ84" s="245">
        <v>1</v>
      </c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566</v>
      </c>
      <c r="BQ84" s="264" t="s">
        <v>567</v>
      </c>
      <c r="BR84" s="264" t="s">
        <v>568</v>
      </c>
    </row>
    <row r="85" spans="1:70" x14ac:dyDescent="0.2">
      <c r="A85" s="149"/>
      <c r="B85" s="190" t="s">
        <v>557</v>
      </c>
      <c r="C85" s="193">
        <v>42115</v>
      </c>
      <c r="D85" s="190">
        <v>1374.4866460000001</v>
      </c>
      <c r="E85" s="223">
        <v>1</v>
      </c>
      <c r="F85" s="213"/>
      <c r="G85" s="223" t="s">
        <v>551</v>
      </c>
      <c r="H85" s="223">
        <v>17178.822658419998</v>
      </c>
      <c r="I85" s="164"/>
      <c r="J85" s="157"/>
      <c r="K85" s="228"/>
      <c r="L85" s="228"/>
      <c r="M85" s="228"/>
      <c r="O85" s="241" t="s">
        <v>551</v>
      </c>
      <c r="P85" s="241">
        <v>16428.583309090001</v>
      </c>
      <c r="Q85" s="239"/>
      <c r="R85" s="157"/>
      <c r="S85" s="253" t="s">
        <v>449</v>
      </c>
      <c r="T85" s="258">
        <v>0</v>
      </c>
      <c r="U85" s="258">
        <v>0</v>
      </c>
      <c r="V85" s="258">
        <v>0</v>
      </c>
      <c r="W85" s="258">
        <v>0</v>
      </c>
      <c r="X85" s="258">
        <v>0</v>
      </c>
      <c r="Y85" s="245"/>
      <c r="Z85" s="245" t="s">
        <v>611</v>
      </c>
      <c r="AA85" s="245">
        <v>11164666797.68</v>
      </c>
      <c r="AB85" s="245">
        <v>42735</v>
      </c>
      <c r="AC85" s="245">
        <v>8340</v>
      </c>
      <c r="AD85" s="245">
        <v>415968</v>
      </c>
      <c r="AE85" s="245">
        <v>1</v>
      </c>
      <c r="AF85" s="245"/>
      <c r="AG85" s="245" t="s">
        <v>611</v>
      </c>
      <c r="AH85" s="245">
        <v>687700279.27999997</v>
      </c>
      <c r="AI85" s="245">
        <v>2677</v>
      </c>
      <c r="AJ85" s="245">
        <v>458</v>
      </c>
      <c r="AK85" s="245">
        <v>19873</v>
      </c>
      <c r="AL85" s="245">
        <v>1</v>
      </c>
      <c r="AM85" s="245"/>
      <c r="AN85" s="245" t="s">
        <v>611</v>
      </c>
      <c r="AO85" s="245">
        <v>9860814338.4300003</v>
      </c>
      <c r="AP85" s="245">
        <v>36257</v>
      </c>
      <c r="AQ85" s="245">
        <v>5915</v>
      </c>
      <c r="AR85" s="245">
        <v>381567</v>
      </c>
      <c r="AS85" s="245">
        <v>1</v>
      </c>
      <c r="AT85" s="245"/>
      <c r="AU85" s="245" t="s">
        <v>611</v>
      </c>
      <c r="AV85" s="245">
        <v>279491477.13999999</v>
      </c>
      <c r="AW85" s="245">
        <v>1030</v>
      </c>
      <c r="AX85" s="245">
        <v>203</v>
      </c>
      <c r="AY85" s="245">
        <v>19111</v>
      </c>
      <c r="AZ85" s="245">
        <v>1</v>
      </c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715675784.35999</v>
      </c>
      <c r="BQ85" s="263">
        <v>97688</v>
      </c>
      <c r="BR85" s="263">
        <v>9927</v>
      </c>
    </row>
    <row r="86" spans="1:70" x14ac:dyDescent="0.2">
      <c r="A86" s="149"/>
      <c r="B86" s="190" t="s">
        <v>558</v>
      </c>
      <c r="C86" s="193">
        <v>42118</v>
      </c>
      <c r="D86" s="190">
        <v>1225.1600000000001</v>
      </c>
      <c r="E86" s="223">
        <v>1</v>
      </c>
      <c r="F86" s="213"/>
      <c r="G86" s="223" t="s">
        <v>552</v>
      </c>
      <c r="H86" s="223">
        <v>18117.038808739999</v>
      </c>
      <c r="I86" s="164"/>
      <c r="J86" s="157"/>
      <c r="K86" s="228"/>
      <c r="L86" s="228"/>
      <c r="M86" s="228"/>
      <c r="O86" s="241" t="s">
        <v>552</v>
      </c>
      <c r="P86" s="241">
        <v>17384.648331910001</v>
      </c>
      <c r="Q86" s="239"/>
      <c r="R86" s="157"/>
      <c r="S86" s="253" t="s">
        <v>447</v>
      </c>
      <c r="T86" s="258">
        <v>0</v>
      </c>
      <c r="U86" s="258">
        <v>0</v>
      </c>
      <c r="V86" s="258">
        <v>0</v>
      </c>
      <c r="W86" s="258">
        <v>1060670</v>
      </c>
      <c r="X86" s="258">
        <v>0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559</v>
      </c>
      <c r="C87" s="193">
        <v>42143</v>
      </c>
      <c r="D87" s="190">
        <v>1310.1099999999999</v>
      </c>
      <c r="E87" s="223">
        <v>1</v>
      </c>
      <c r="F87" s="213"/>
      <c r="G87" s="223" t="s">
        <v>314</v>
      </c>
      <c r="H87" s="223">
        <v>6369.5128049799996</v>
      </c>
      <c r="I87" s="164"/>
      <c r="J87" s="157"/>
      <c r="K87" s="228"/>
      <c r="L87" s="228"/>
      <c r="M87" s="228"/>
      <c r="O87" s="241" t="s">
        <v>314</v>
      </c>
      <c r="P87" s="241">
        <v>6215.10625308</v>
      </c>
      <c r="Q87" s="239"/>
      <c r="R87" s="157"/>
      <c r="S87" s="253" t="s">
        <v>571</v>
      </c>
      <c r="T87" s="258">
        <v>0</v>
      </c>
      <c r="U87" s="258">
        <v>0</v>
      </c>
      <c r="V87" s="258">
        <v>0</v>
      </c>
      <c r="W87" s="258">
        <v>0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569</v>
      </c>
      <c r="BQ87" s="245"/>
      <c r="BR87" s="245"/>
    </row>
    <row r="88" spans="1:70" x14ac:dyDescent="0.2">
      <c r="A88" s="151"/>
      <c r="B88" s="190" t="s">
        <v>560</v>
      </c>
      <c r="C88" s="193">
        <v>42312</v>
      </c>
      <c r="D88" s="190">
        <v>1315.4607390000001</v>
      </c>
      <c r="E88" s="223">
        <v>1</v>
      </c>
      <c r="F88" s="209"/>
      <c r="G88" s="223" t="s">
        <v>315</v>
      </c>
      <c r="H88" s="223">
        <v>10995.91365624</v>
      </c>
      <c r="I88" s="164"/>
      <c r="J88" s="157"/>
      <c r="K88" s="228"/>
      <c r="L88" s="228"/>
      <c r="M88" s="228"/>
      <c r="O88" s="241" t="s">
        <v>315</v>
      </c>
      <c r="P88" s="241">
        <v>9938.6885646499995</v>
      </c>
      <c r="Q88" s="239"/>
      <c r="R88" s="157"/>
      <c r="S88" s="247" t="s">
        <v>451</v>
      </c>
      <c r="T88" s="247">
        <v>0</v>
      </c>
      <c r="U88" s="247">
        <v>0</v>
      </c>
      <c r="V88" s="247">
        <v>0</v>
      </c>
      <c r="W88" s="247">
        <v>409508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116935</v>
      </c>
      <c r="BQ88" s="245"/>
      <c r="BR88" s="245"/>
    </row>
    <row r="89" spans="1:70" x14ac:dyDescent="0.2">
      <c r="A89" s="14"/>
      <c r="B89" s="190" t="s">
        <v>561</v>
      </c>
      <c r="C89" s="193">
        <v>42312</v>
      </c>
      <c r="D89" s="190">
        <v>1209.71</v>
      </c>
      <c r="E89" s="223">
        <v>1</v>
      </c>
      <c r="F89" s="209"/>
      <c r="G89" s="223" t="s">
        <v>316</v>
      </c>
      <c r="H89" s="223">
        <v>5693.1010241800004</v>
      </c>
      <c r="I89" s="164"/>
      <c r="J89" s="157"/>
      <c r="K89" s="228"/>
      <c r="L89" s="228"/>
      <c r="M89" s="228"/>
      <c r="O89" s="241" t="s">
        <v>316</v>
      </c>
      <c r="P89" s="241">
        <v>5475.3569750300003</v>
      </c>
      <c r="Q89" s="239"/>
      <c r="S89" s="245" t="s">
        <v>448</v>
      </c>
      <c r="T89" s="245">
        <v>0</v>
      </c>
      <c r="U89" s="245">
        <v>4867</v>
      </c>
      <c r="V89" s="245">
        <v>152</v>
      </c>
      <c r="W89" s="245">
        <v>547622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562</v>
      </c>
      <c r="C90" s="193">
        <v>42594</v>
      </c>
      <c r="D90" s="190">
        <v>1327.18</v>
      </c>
      <c r="E90" s="223">
        <v>1</v>
      </c>
      <c r="F90" s="213"/>
      <c r="G90" s="223" t="s">
        <v>74</v>
      </c>
      <c r="H90" s="223">
        <v>32655.338949829998</v>
      </c>
      <c r="I90" s="164"/>
      <c r="J90" s="157"/>
      <c r="K90" s="228"/>
      <c r="L90" s="228"/>
      <c r="M90" s="228"/>
      <c r="O90" s="241" t="s">
        <v>74</v>
      </c>
      <c r="P90" s="241">
        <v>33420.95428785</v>
      </c>
      <c r="Q90" s="239"/>
      <c r="S90" s="245" t="s">
        <v>182</v>
      </c>
      <c r="T90" s="245">
        <v>5559223.5</v>
      </c>
      <c r="U90" s="245">
        <v>24026</v>
      </c>
      <c r="V90" s="245">
        <v>37</v>
      </c>
      <c r="W90" s="245">
        <v>567276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569</v>
      </c>
      <c r="BQ90" s="245"/>
      <c r="BR90" s="245"/>
    </row>
    <row r="91" spans="1:70" x14ac:dyDescent="0.2">
      <c r="A91" s="149"/>
      <c r="B91" s="190" t="s">
        <v>563</v>
      </c>
      <c r="C91" s="193">
        <v>42118</v>
      </c>
      <c r="D91" s="190">
        <v>1238.74</v>
      </c>
      <c r="E91" s="223">
        <v>1</v>
      </c>
      <c r="F91" s="213"/>
      <c r="G91" s="223" t="s">
        <v>76</v>
      </c>
      <c r="H91" s="223">
        <v>44841.29425318</v>
      </c>
      <c r="I91" s="164"/>
      <c r="J91" s="157"/>
      <c r="K91" s="228"/>
      <c r="L91" s="228"/>
      <c r="M91" s="228"/>
      <c r="O91" s="241" t="s">
        <v>76</v>
      </c>
      <c r="P91" s="241">
        <v>42346.194503279999</v>
      </c>
      <c r="Q91" s="239"/>
      <c r="S91" s="245" t="s">
        <v>446</v>
      </c>
      <c r="T91" s="245">
        <v>11070056341.845501</v>
      </c>
      <c r="U91" s="245">
        <v>25681</v>
      </c>
      <c r="V91" s="245">
        <v>10043</v>
      </c>
      <c r="W91" s="245">
        <v>562733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49357</v>
      </c>
      <c r="BQ91" s="245"/>
      <c r="BR91" s="245"/>
    </row>
    <row r="92" spans="1:70" x14ac:dyDescent="0.2">
      <c r="A92" s="149"/>
      <c r="B92" s="190" t="s">
        <v>564</v>
      </c>
      <c r="C92" s="193">
        <v>42118</v>
      </c>
      <c r="D92" s="190">
        <v>1315.36</v>
      </c>
      <c r="E92" s="223">
        <v>1</v>
      </c>
      <c r="F92" s="213"/>
      <c r="G92" s="223" t="s">
        <v>78</v>
      </c>
      <c r="H92" s="223">
        <v>56114.064973629997</v>
      </c>
      <c r="I92" s="164"/>
      <c r="J92" s="157"/>
      <c r="K92" s="228"/>
      <c r="L92" s="228"/>
      <c r="M92" s="228"/>
      <c r="O92" s="241" t="s">
        <v>78</v>
      </c>
      <c r="P92" s="241">
        <v>56466.480097450003</v>
      </c>
      <c r="Q92" s="239"/>
      <c r="S92" s="245" t="s">
        <v>449</v>
      </c>
      <c r="T92" s="245">
        <v>0</v>
      </c>
      <c r="U92" s="245">
        <v>0</v>
      </c>
      <c r="V92" s="245">
        <v>0</v>
      </c>
      <c r="W92" s="245">
        <v>3019362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317</v>
      </c>
      <c r="H93" s="223">
        <v>11437.22074579</v>
      </c>
      <c r="I93" s="164"/>
      <c r="J93" s="157"/>
      <c r="K93" s="228"/>
      <c r="L93" s="228"/>
      <c r="M93" s="228"/>
      <c r="O93" s="241" t="s">
        <v>317</v>
      </c>
      <c r="P93" s="241">
        <v>10937.96398778</v>
      </c>
      <c r="Q93" s="239"/>
      <c r="S93" s="245" t="s">
        <v>450</v>
      </c>
      <c r="T93" s="245">
        <v>0</v>
      </c>
      <c r="U93" s="245">
        <v>0</v>
      </c>
      <c r="V93" s="245">
        <v>0</v>
      </c>
      <c r="W93" s="245">
        <v>2782263</v>
      </c>
      <c r="X93" s="245">
        <v>1</v>
      </c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548</v>
      </c>
      <c r="C94" s="193">
        <v>43060</v>
      </c>
      <c r="D94" s="190">
        <v>61066.919248099999</v>
      </c>
      <c r="E94" s="223">
        <v>1</v>
      </c>
      <c r="F94" s="209"/>
      <c r="G94" s="223" t="s">
        <v>318</v>
      </c>
      <c r="H94" s="223">
        <v>6668.2176051400002</v>
      </c>
      <c r="I94" s="164"/>
      <c r="J94" s="157"/>
      <c r="K94" s="228"/>
      <c r="L94" s="228"/>
      <c r="M94" s="228"/>
      <c r="O94" s="241" t="s">
        <v>318</v>
      </c>
      <c r="P94" s="241">
        <v>6061.5860942600002</v>
      </c>
      <c r="Q94" s="239"/>
      <c r="S94" s="245" t="s">
        <v>447</v>
      </c>
      <c r="T94" s="245">
        <v>89016829.5</v>
      </c>
      <c r="U94" s="245">
        <v>6574</v>
      </c>
      <c r="V94" s="245">
        <v>157</v>
      </c>
      <c r="W94" s="245">
        <v>774646</v>
      </c>
      <c r="X94" s="245">
        <v>1</v>
      </c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549</v>
      </c>
      <c r="C95" s="193">
        <v>43125</v>
      </c>
      <c r="D95" s="190">
        <v>59875.289842060003</v>
      </c>
      <c r="E95" s="223">
        <v>1</v>
      </c>
      <c r="F95" s="209"/>
      <c r="G95" s="223" t="s">
        <v>88</v>
      </c>
      <c r="H95" s="223">
        <v>4448.9152067900004</v>
      </c>
      <c r="I95" s="164"/>
      <c r="J95" s="157"/>
      <c r="K95" s="228"/>
      <c r="L95" s="228"/>
      <c r="M95" s="228"/>
      <c r="O95" s="241" t="s">
        <v>88</v>
      </c>
      <c r="P95" s="241">
        <v>4239.6807482100003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80</v>
      </c>
      <c r="H96" s="223">
        <v>23690.935123300002</v>
      </c>
      <c r="I96" s="164"/>
      <c r="J96" s="157"/>
      <c r="K96" s="228"/>
      <c r="L96" s="228"/>
      <c r="M96" s="228"/>
      <c r="O96" s="241" t="s">
        <v>80</v>
      </c>
      <c r="P96" s="241">
        <v>22196.486264660001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319</v>
      </c>
      <c r="H97" s="223">
        <v>837.46345786999996</v>
      </c>
      <c r="I97" s="164"/>
      <c r="K97" s="228"/>
      <c r="L97" s="228"/>
      <c r="M97" s="228"/>
      <c r="O97" s="241" t="s">
        <v>319</v>
      </c>
      <c r="P97" s="241">
        <v>786.93530062000002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86</v>
      </c>
      <c r="H98" s="223">
        <v>5675.4114998599998</v>
      </c>
      <c r="I98" s="164"/>
      <c r="K98" s="228"/>
      <c r="L98" s="228"/>
      <c r="M98" s="228"/>
      <c r="O98" s="241" t="s">
        <v>86</v>
      </c>
      <c r="P98" s="241">
        <v>5018.6859209900003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320</v>
      </c>
      <c r="H99" s="223">
        <v>4304.8495380499999</v>
      </c>
      <c r="I99" s="164"/>
      <c r="K99" s="228"/>
      <c r="L99" s="228"/>
      <c r="M99" s="228"/>
      <c r="O99" s="241" t="s">
        <v>320</v>
      </c>
      <c r="P99" s="241">
        <v>4127.9210447599999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82</v>
      </c>
      <c r="H100" s="223">
        <v>42771.804947320001</v>
      </c>
      <c r="I100" s="164"/>
      <c r="K100" s="228"/>
      <c r="L100" s="228"/>
      <c r="M100" s="228"/>
      <c r="O100" s="241" t="s">
        <v>82</v>
      </c>
      <c r="P100" s="241">
        <v>40891.668120390001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84</v>
      </c>
      <c r="H101" s="223">
        <v>32929.57026167</v>
      </c>
      <c r="I101" s="164"/>
      <c r="K101" s="228"/>
      <c r="L101" s="228"/>
      <c r="M101" s="228"/>
      <c r="O101" s="241" t="s">
        <v>84</v>
      </c>
      <c r="P101" s="241">
        <v>30020.003305319999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321</v>
      </c>
      <c r="H102" s="223">
        <v>7915.5638776100004</v>
      </c>
      <c r="I102" s="164"/>
      <c r="K102" s="228"/>
      <c r="L102" s="228"/>
      <c r="M102" s="228"/>
      <c r="O102" s="241" t="s">
        <v>321</v>
      </c>
      <c r="P102" s="241">
        <v>7507.7284493799998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322</v>
      </c>
      <c r="H103" s="223">
        <v>2721.6186310600001</v>
      </c>
      <c r="I103" s="164"/>
      <c r="K103" s="228"/>
      <c r="L103" s="228"/>
      <c r="M103" s="228"/>
      <c r="O103" s="241" t="s">
        <v>322</v>
      </c>
      <c r="P103" s="241">
        <v>2340.6112817200001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323</v>
      </c>
      <c r="H104" s="223">
        <v>178.87610452999999</v>
      </c>
      <c r="I104" s="164"/>
      <c r="K104" s="228"/>
      <c r="L104" s="228"/>
      <c r="M104" s="228"/>
      <c r="O104" s="241" t="s">
        <v>323</v>
      </c>
      <c r="P104" s="241">
        <v>158.58988618999999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553</v>
      </c>
      <c r="H105" s="223">
        <v>12833.91103909</v>
      </c>
      <c r="I105" s="164"/>
      <c r="K105" s="228"/>
      <c r="L105" s="228"/>
      <c r="M105" s="228"/>
      <c r="O105" s="241" t="s">
        <v>553</v>
      </c>
      <c r="P105" s="241">
        <v>12851.762992030001</v>
      </c>
    </row>
    <row r="106" spans="1:16" x14ac:dyDescent="0.2">
      <c r="B106" s="190" t="s">
        <v>285</v>
      </c>
      <c r="C106" s="193">
        <v>43348</v>
      </c>
      <c r="D106" s="190">
        <v>421.77493391000002</v>
      </c>
      <c r="E106" s="223">
        <v>1</v>
      </c>
      <c r="F106" s="213"/>
      <c r="G106" s="223" t="s">
        <v>554</v>
      </c>
      <c r="H106" s="223">
        <v>12398.630643</v>
      </c>
      <c r="I106" s="164"/>
      <c r="K106" s="228"/>
      <c r="L106" s="228"/>
      <c r="M106" s="228"/>
      <c r="O106" s="241" t="s">
        <v>554</v>
      </c>
      <c r="P106" s="241">
        <v>12322.73928779</v>
      </c>
    </row>
    <row r="107" spans="1:16" x14ac:dyDescent="0.2">
      <c r="B107" s="190" t="s">
        <v>286</v>
      </c>
      <c r="C107" s="193">
        <v>43348</v>
      </c>
      <c r="D107" s="190">
        <v>302.76282674999999</v>
      </c>
      <c r="E107" s="223">
        <v>1</v>
      </c>
      <c r="F107" s="213"/>
      <c r="G107" s="223" t="s">
        <v>555</v>
      </c>
      <c r="H107" s="223">
        <v>9611.5390936200001</v>
      </c>
      <c r="I107" s="164"/>
      <c r="K107" s="228"/>
      <c r="L107" s="228"/>
      <c r="M107" s="228"/>
      <c r="O107" s="241" t="s">
        <v>555</v>
      </c>
      <c r="P107" s="241">
        <v>9395.2093266800002</v>
      </c>
    </row>
    <row r="108" spans="1:16" x14ac:dyDescent="0.2">
      <c r="B108" s="190" t="s">
        <v>287</v>
      </c>
      <c r="C108" s="193">
        <v>43348</v>
      </c>
      <c r="D108" s="190">
        <v>234.75259614999999</v>
      </c>
      <c r="E108" s="223">
        <v>1</v>
      </c>
      <c r="F108" s="209"/>
      <c r="G108" s="223" t="s">
        <v>324</v>
      </c>
      <c r="H108" s="223">
        <v>9708.9328000599999</v>
      </c>
      <c r="I108" s="164"/>
      <c r="K108" s="228"/>
      <c r="L108" s="228"/>
      <c r="M108" s="228"/>
      <c r="O108" s="241" t="s">
        <v>324</v>
      </c>
      <c r="P108" s="241">
        <v>9088.6956836900008</v>
      </c>
    </row>
    <row r="109" spans="1:16" x14ac:dyDescent="0.2">
      <c r="B109" s="190" t="s">
        <v>288</v>
      </c>
      <c r="C109" s="193">
        <v>43348</v>
      </c>
      <c r="D109" s="190">
        <v>553.52868425999998</v>
      </c>
      <c r="E109" s="223">
        <v>1</v>
      </c>
      <c r="F109" s="209"/>
      <c r="G109" s="223" t="s">
        <v>325</v>
      </c>
      <c r="H109" s="223">
        <v>88725.880217309998</v>
      </c>
      <c r="I109" s="164"/>
      <c r="K109" s="228"/>
      <c r="L109" s="228"/>
      <c r="M109" s="228"/>
      <c r="O109" s="241" t="s">
        <v>325</v>
      </c>
      <c r="P109" s="241">
        <v>79617.521565360003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326</v>
      </c>
      <c r="H110" s="223">
        <v>42202.581429719998</v>
      </c>
      <c r="I110" s="164"/>
      <c r="K110" s="228"/>
      <c r="L110" s="228"/>
      <c r="M110" s="228"/>
      <c r="O110" s="241" t="s">
        <v>326</v>
      </c>
      <c r="P110" s="241">
        <v>40347.660181740001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327</v>
      </c>
      <c r="H111" s="223">
        <v>1138.5647714300001</v>
      </c>
      <c r="I111" s="164"/>
      <c r="K111" s="228"/>
      <c r="L111" s="228"/>
      <c r="M111" s="228"/>
      <c r="O111" s="241" t="s">
        <v>327</v>
      </c>
      <c r="P111" s="241">
        <v>1156.95302133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190</v>
      </c>
      <c r="H112" s="223">
        <v>652.25358086999995</v>
      </c>
      <c r="I112" s="164"/>
      <c r="K112" s="228"/>
      <c r="L112" s="228"/>
      <c r="M112" s="228"/>
      <c r="O112" s="241" t="s">
        <v>190</v>
      </c>
      <c r="P112" s="241">
        <v>646.17638758999999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329</v>
      </c>
      <c r="H113" s="223">
        <v>3470.2173780500002</v>
      </c>
      <c r="I113" s="164"/>
      <c r="K113" s="228"/>
      <c r="L113" s="228"/>
      <c r="M113" s="228"/>
      <c r="O113" s="241" t="s">
        <v>329</v>
      </c>
      <c r="P113" s="241">
        <v>3314.00527693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330</v>
      </c>
      <c r="H114" s="223">
        <v>4183.1701987300003</v>
      </c>
      <c r="I114" s="164"/>
      <c r="K114" s="228"/>
      <c r="L114" s="228"/>
      <c r="M114" s="228"/>
      <c r="O114" s="241" t="s">
        <v>330</v>
      </c>
      <c r="P114" s="241">
        <v>4268.5433918700001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331</v>
      </c>
      <c r="H115" s="223">
        <v>705.95028936000006</v>
      </c>
      <c r="I115" s="164"/>
      <c r="K115" s="228"/>
      <c r="L115" s="228"/>
      <c r="M115" s="228"/>
      <c r="O115" s="241" t="s">
        <v>331</v>
      </c>
      <c r="P115" s="241">
        <v>643.57444849000001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333</v>
      </c>
      <c r="H116" s="223">
        <v>70.469828559999996</v>
      </c>
      <c r="I116" s="164"/>
      <c r="K116" s="228"/>
      <c r="L116" s="228"/>
      <c r="M116" s="228"/>
      <c r="O116" s="241" t="s">
        <v>333</v>
      </c>
      <c r="P116" s="241">
        <v>68.781899249999995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334</v>
      </c>
      <c r="H117" s="223">
        <v>130.88420919999999</v>
      </c>
      <c r="I117" s="164"/>
      <c r="K117" s="228"/>
      <c r="L117" s="228"/>
      <c r="M117" s="228"/>
      <c r="O117" s="241" t="s">
        <v>334</v>
      </c>
      <c r="P117" s="241">
        <v>128.50663216000001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335</v>
      </c>
      <c r="H118" s="223">
        <v>50.164469169999997</v>
      </c>
      <c r="I118" s="164"/>
      <c r="K118" s="228"/>
      <c r="L118" s="228"/>
      <c r="M118" s="228"/>
      <c r="O118" s="241" t="s">
        <v>335</v>
      </c>
      <c r="P118" s="241">
        <v>49.5489362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336</v>
      </c>
      <c r="H119" s="223">
        <v>89.289409340000006</v>
      </c>
      <c r="I119" s="164"/>
      <c r="K119" s="228"/>
      <c r="L119" s="228"/>
      <c r="M119" s="228"/>
      <c r="O119" s="241" t="s">
        <v>336</v>
      </c>
      <c r="P119" s="241">
        <v>88.716705059999995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337</v>
      </c>
      <c r="H120" s="223">
        <v>52274.030369710003</v>
      </c>
      <c r="I120" s="164"/>
      <c r="K120" s="228"/>
      <c r="L120" s="228"/>
      <c r="M120" s="228"/>
      <c r="O120" s="241" t="s">
        <v>337</v>
      </c>
      <c r="P120" s="241">
        <v>50273.928755070003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338</v>
      </c>
      <c r="H121" s="223">
        <v>3919.5271637599999</v>
      </c>
      <c r="I121" s="164"/>
      <c r="K121" s="228"/>
      <c r="L121" s="228"/>
      <c r="M121" s="228"/>
      <c r="O121" s="241" t="s">
        <v>338</v>
      </c>
      <c r="P121" s="241">
        <v>3747.3406848099999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339</v>
      </c>
      <c r="H122" s="223">
        <v>58528.395363759999</v>
      </c>
      <c r="I122" s="164"/>
      <c r="K122" s="228"/>
      <c r="L122" s="228"/>
      <c r="M122" s="228"/>
      <c r="O122" s="241" t="s">
        <v>339</v>
      </c>
      <c r="P122" s="241">
        <v>56462.549060899997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340</v>
      </c>
      <c r="H123" s="223">
        <v>12585.66219202</v>
      </c>
      <c r="I123" s="164"/>
      <c r="K123" s="228"/>
      <c r="L123" s="228"/>
      <c r="M123" s="228"/>
      <c r="O123" s="241" t="s">
        <v>340</v>
      </c>
      <c r="P123" s="241">
        <v>11981.141369819999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341</v>
      </c>
      <c r="H124" s="223">
        <v>872.58608135999998</v>
      </c>
      <c r="I124" s="164"/>
      <c r="K124" s="228"/>
      <c r="L124" s="228"/>
      <c r="M124" s="228"/>
      <c r="O124" s="241" t="s">
        <v>341</v>
      </c>
      <c r="P124" s="241">
        <v>865.73036748000004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343</v>
      </c>
      <c r="H125" s="223">
        <v>3265.1780576400001</v>
      </c>
      <c r="I125" s="164"/>
      <c r="K125" s="228"/>
      <c r="L125" s="228"/>
      <c r="M125" s="228"/>
      <c r="O125" s="241" t="s">
        <v>343</v>
      </c>
      <c r="P125" s="241">
        <v>3249.2578671000001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344</v>
      </c>
      <c r="H126" s="223">
        <v>11377.121684629999</v>
      </c>
      <c r="I126" s="164"/>
      <c r="K126" s="228"/>
      <c r="L126" s="228"/>
      <c r="M126" s="228"/>
      <c r="O126" s="241" t="s">
        <v>344</v>
      </c>
      <c r="P126" s="241">
        <v>10765.798946880001</v>
      </c>
    </row>
    <row r="127" spans="2:16" x14ac:dyDescent="0.2">
      <c r="B127" s="190" t="s">
        <v>303</v>
      </c>
      <c r="C127" s="193">
        <v>43571</v>
      </c>
      <c r="D127" s="190">
        <v>14499.8449</v>
      </c>
      <c r="E127" s="223">
        <v>1</v>
      </c>
      <c r="F127" s="209"/>
      <c r="G127" s="223" t="s">
        <v>346</v>
      </c>
      <c r="H127" s="223">
        <v>9029.42</v>
      </c>
      <c r="I127" s="164"/>
      <c r="K127" s="228"/>
      <c r="L127" s="228"/>
      <c r="M127" s="228"/>
      <c r="O127" s="241" t="s">
        <v>346</v>
      </c>
      <c r="P127" s="241">
        <v>8584.5499999999993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347</v>
      </c>
      <c r="H128" s="223">
        <v>13602.43</v>
      </c>
      <c r="I128" s="164"/>
      <c r="K128" s="228"/>
      <c r="L128" s="228"/>
      <c r="M128" s="228"/>
      <c r="O128" s="241" t="s">
        <v>347</v>
      </c>
      <c r="P128" s="241">
        <v>13592.73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348</v>
      </c>
      <c r="H129" s="223">
        <v>5983.15</v>
      </c>
      <c r="I129" s="164"/>
      <c r="K129" s="228"/>
      <c r="L129" s="228"/>
      <c r="M129" s="228"/>
      <c r="O129" s="241" t="s">
        <v>348</v>
      </c>
      <c r="P129" s="241">
        <v>6027.51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349</v>
      </c>
      <c r="H130" s="223">
        <v>5859.49</v>
      </c>
      <c r="I130" s="164"/>
      <c r="K130" s="228"/>
      <c r="L130" s="228"/>
      <c r="M130" s="228"/>
      <c r="O130" s="241" t="s">
        <v>349</v>
      </c>
      <c r="P130" s="241">
        <v>6127.76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350</v>
      </c>
      <c r="H131" s="223">
        <v>2405.08</v>
      </c>
      <c r="I131" s="164"/>
      <c r="K131" s="228"/>
      <c r="L131" s="228"/>
      <c r="M131" s="228"/>
      <c r="O131" s="241" t="s">
        <v>350</v>
      </c>
      <c r="P131" s="241">
        <v>2282.02</v>
      </c>
    </row>
    <row r="132" spans="2:16" x14ac:dyDescent="0.2">
      <c r="B132" s="190" t="s">
        <v>550</v>
      </c>
      <c r="C132" s="193">
        <v>43060</v>
      </c>
      <c r="D132" s="190">
        <v>85296.650230529995</v>
      </c>
      <c r="E132" s="223">
        <v>1</v>
      </c>
      <c r="F132" s="209"/>
      <c r="G132" s="223" t="s">
        <v>351</v>
      </c>
      <c r="H132" s="223">
        <v>20662.18</v>
      </c>
      <c r="I132" s="164"/>
      <c r="K132" s="228"/>
      <c r="L132" s="228"/>
      <c r="M132" s="228"/>
      <c r="O132" s="241" t="s">
        <v>351</v>
      </c>
      <c r="P132" s="241">
        <v>19501.48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352</v>
      </c>
      <c r="H133" s="223">
        <v>2829.03</v>
      </c>
      <c r="I133" s="164"/>
      <c r="K133" s="228"/>
      <c r="L133" s="228"/>
      <c r="M133" s="228"/>
      <c r="O133" s="241" t="s">
        <v>352</v>
      </c>
      <c r="P133" s="241">
        <v>2591.42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353</v>
      </c>
      <c r="H134" s="223">
        <v>4664.62</v>
      </c>
      <c r="I134" s="164"/>
      <c r="K134" s="228"/>
      <c r="L134" s="228"/>
      <c r="M134" s="228"/>
      <c r="O134" s="241" t="s">
        <v>353</v>
      </c>
      <c r="P134" s="241">
        <v>4826.1899999999996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354</v>
      </c>
      <c r="H135" s="223">
        <v>5013.62</v>
      </c>
      <c r="I135" s="164"/>
      <c r="K135" s="228"/>
      <c r="L135" s="228"/>
      <c r="M135" s="228"/>
      <c r="O135" s="241" t="s">
        <v>354</v>
      </c>
      <c r="P135" s="241">
        <v>4785.76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355</v>
      </c>
      <c r="H136" s="223">
        <v>4702.66</v>
      </c>
      <c r="I136" s="164"/>
      <c r="K136" s="228"/>
      <c r="L136" s="228"/>
      <c r="M136" s="228"/>
      <c r="O136" s="241" t="s">
        <v>355</v>
      </c>
      <c r="P136" s="241">
        <v>4420.22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356</v>
      </c>
      <c r="H137" s="223">
        <v>9437.64</v>
      </c>
      <c r="I137" s="164"/>
      <c r="K137" s="228"/>
      <c r="L137" s="228"/>
      <c r="M137" s="228"/>
      <c r="O137" s="241" t="s">
        <v>356</v>
      </c>
      <c r="P137" s="241">
        <v>9204.41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357</v>
      </c>
      <c r="H138" s="223">
        <v>21667.919999999998</v>
      </c>
      <c r="I138" s="164"/>
      <c r="K138" s="228"/>
      <c r="L138" s="228"/>
      <c r="M138" s="228"/>
      <c r="O138" s="241" t="s">
        <v>357</v>
      </c>
      <c r="P138" s="241">
        <v>20433.53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358</v>
      </c>
      <c r="H139" s="223">
        <v>10603.89</v>
      </c>
      <c r="I139" s="164"/>
      <c r="K139" s="228"/>
      <c r="L139" s="228"/>
      <c r="M139" s="228"/>
      <c r="O139" s="241" t="s">
        <v>358</v>
      </c>
      <c r="P139" s="241">
        <v>10399.469999999999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359</v>
      </c>
      <c r="H140" s="223">
        <v>543.63</v>
      </c>
      <c r="I140" s="164"/>
      <c r="K140" s="228"/>
      <c r="L140" s="228"/>
      <c r="M140" s="228"/>
      <c r="O140" s="241" t="s">
        <v>359</v>
      </c>
      <c r="P140" s="241">
        <v>498.55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360</v>
      </c>
      <c r="H141" s="223">
        <v>40453.64</v>
      </c>
      <c r="I141" s="164"/>
      <c r="K141" s="228"/>
      <c r="L141" s="228"/>
      <c r="M141" s="228"/>
      <c r="O141" s="241" t="s">
        <v>360</v>
      </c>
      <c r="P141" s="241">
        <v>40395.75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361</v>
      </c>
      <c r="H142" s="223">
        <v>6991.08</v>
      </c>
      <c r="I142" s="164"/>
      <c r="K142" s="228"/>
      <c r="L142" s="228"/>
      <c r="M142" s="228"/>
      <c r="O142" s="241" t="s">
        <v>361</v>
      </c>
      <c r="P142" s="241">
        <v>7501.22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362</v>
      </c>
      <c r="H143" s="223">
        <v>13517.96</v>
      </c>
      <c r="I143" s="164"/>
      <c r="K143" s="228"/>
      <c r="L143" s="228"/>
      <c r="M143" s="228"/>
      <c r="O143" s="241" t="s">
        <v>362</v>
      </c>
      <c r="P143" s="241">
        <v>13190.26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363</v>
      </c>
      <c r="H144" s="223">
        <v>9456.2099999999991</v>
      </c>
      <c r="I144" s="164"/>
      <c r="K144" s="228"/>
      <c r="L144" s="228"/>
      <c r="M144" s="228"/>
      <c r="O144" s="241" t="s">
        <v>363</v>
      </c>
      <c r="P144" s="241">
        <v>8547.02</v>
      </c>
    </row>
    <row r="145" spans="2:16" x14ac:dyDescent="0.2">
      <c r="B145" s="190" t="s">
        <v>551</v>
      </c>
      <c r="C145" s="193">
        <v>43125</v>
      </c>
      <c r="D145" s="190">
        <v>19449.716547939999</v>
      </c>
      <c r="E145" s="223">
        <v>1</v>
      </c>
      <c r="F145" s="209"/>
      <c r="G145" s="223" t="s">
        <v>364</v>
      </c>
      <c r="H145" s="223">
        <v>29742.09</v>
      </c>
      <c r="I145" s="164"/>
      <c r="K145" s="228"/>
      <c r="L145" s="228"/>
      <c r="M145" s="228"/>
      <c r="O145" s="241" t="s">
        <v>364</v>
      </c>
      <c r="P145" s="241">
        <v>28443.68</v>
      </c>
    </row>
    <row r="146" spans="2:16" x14ac:dyDescent="0.2">
      <c r="B146" s="190" t="s">
        <v>552</v>
      </c>
      <c r="C146" s="193">
        <v>43125</v>
      </c>
      <c r="D146" s="190">
        <v>20280.098055819999</v>
      </c>
      <c r="E146" s="223">
        <v>1</v>
      </c>
      <c r="F146" s="209"/>
      <c r="G146" s="223" t="s">
        <v>365</v>
      </c>
      <c r="H146" s="223">
        <v>11399.99</v>
      </c>
      <c r="I146" s="164"/>
      <c r="K146" s="228"/>
      <c r="L146" s="228"/>
      <c r="M146" s="228"/>
      <c r="O146" s="241" t="s">
        <v>365</v>
      </c>
      <c r="P146" s="241">
        <v>10362.89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366</v>
      </c>
      <c r="H147" s="223">
        <v>115245.2</v>
      </c>
      <c r="I147" s="164"/>
      <c r="K147" s="228"/>
      <c r="L147" s="228"/>
      <c r="M147" s="228"/>
      <c r="O147" s="241" t="s">
        <v>366</v>
      </c>
      <c r="P147" s="241">
        <v>108291.91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367</v>
      </c>
      <c r="H148" s="223">
        <v>5746.29</v>
      </c>
      <c r="I148" s="164"/>
      <c r="K148" s="228"/>
      <c r="L148" s="228"/>
      <c r="M148" s="228"/>
      <c r="O148" s="241" t="s">
        <v>367</v>
      </c>
      <c r="P148" s="241">
        <v>5510.12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368</v>
      </c>
      <c r="H149" s="223">
        <v>7969.48</v>
      </c>
      <c r="I149" s="164"/>
      <c r="K149" s="228"/>
      <c r="L149" s="228"/>
      <c r="M149" s="228"/>
      <c r="O149" s="241" t="s">
        <v>368</v>
      </c>
      <c r="P149" s="241">
        <v>6853.81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369</v>
      </c>
      <c r="H150" s="223">
        <v>6911.99</v>
      </c>
      <c r="I150" s="164"/>
      <c r="K150" s="228"/>
      <c r="L150" s="228"/>
      <c r="M150" s="228"/>
      <c r="O150" s="241" t="s">
        <v>369</v>
      </c>
      <c r="P150" s="241">
        <v>6128.11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370</v>
      </c>
      <c r="H151" s="223">
        <v>13121.59</v>
      </c>
      <c r="I151" s="164"/>
      <c r="K151" s="228"/>
      <c r="L151" s="228"/>
      <c r="M151" s="228"/>
      <c r="O151" s="241" t="s">
        <v>370</v>
      </c>
      <c r="P151" s="241">
        <v>12283.34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371</v>
      </c>
      <c r="H152" s="223">
        <v>20963.64</v>
      </c>
      <c r="I152" s="164"/>
      <c r="K152" s="228"/>
      <c r="L152" s="228"/>
      <c r="M152" s="228"/>
      <c r="O152" s="241" t="s">
        <v>371</v>
      </c>
      <c r="P152" s="241">
        <v>18811.57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372</v>
      </c>
      <c r="H153" s="223">
        <v>13135.45</v>
      </c>
      <c r="I153" s="164"/>
      <c r="K153" s="228"/>
      <c r="L153" s="228"/>
      <c r="M153" s="228"/>
      <c r="O153" s="241" t="s">
        <v>372</v>
      </c>
      <c r="P153" s="241">
        <v>12561.14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373</v>
      </c>
      <c r="H154" s="223">
        <v>8544.66</v>
      </c>
      <c r="I154" s="164"/>
      <c r="K154" s="228"/>
      <c r="L154" s="228"/>
      <c r="M154" s="228"/>
      <c r="O154" s="241" t="s">
        <v>373</v>
      </c>
      <c r="P154" s="241">
        <v>8682.66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374</v>
      </c>
      <c r="H155" s="223">
        <v>5259.7</v>
      </c>
      <c r="I155" s="164"/>
      <c r="K155" s="228"/>
      <c r="L155" s="228"/>
      <c r="M155" s="228"/>
      <c r="O155" s="241" t="s">
        <v>374</v>
      </c>
      <c r="P155" s="241">
        <v>5191.8900000000003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375</v>
      </c>
      <c r="H156" s="223">
        <v>7655.15</v>
      </c>
      <c r="I156" s="164"/>
      <c r="K156" s="228"/>
      <c r="L156" s="228"/>
      <c r="M156" s="228"/>
      <c r="O156" s="241" t="s">
        <v>375</v>
      </c>
      <c r="P156" s="241">
        <v>7339.1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376</v>
      </c>
      <c r="H157" s="223">
        <v>9494.3799999999992</v>
      </c>
      <c r="I157" s="164"/>
      <c r="K157" s="228"/>
      <c r="L157" s="228"/>
      <c r="M157" s="228"/>
      <c r="O157" s="241" t="s">
        <v>376</v>
      </c>
      <c r="P157" s="241">
        <v>9688.15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377</v>
      </c>
      <c r="H158" s="223">
        <v>13009.04</v>
      </c>
      <c r="I158" s="164"/>
      <c r="K158" s="228"/>
      <c r="L158" s="228"/>
      <c r="M158" s="228"/>
      <c r="O158" s="241" t="s">
        <v>377</v>
      </c>
      <c r="P158" s="241">
        <v>11859.59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380</v>
      </c>
      <c r="H159" s="223">
        <v>6242.4</v>
      </c>
      <c r="I159" s="164"/>
      <c r="K159" s="228"/>
      <c r="L159" s="228"/>
      <c r="M159" s="228"/>
      <c r="O159" s="241" t="s">
        <v>380</v>
      </c>
      <c r="P159" s="241">
        <v>6329.2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381</v>
      </c>
      <c r="H160" s="223">
        <v>10014.51</v>
      </c>
      <c r="I160" s="164"/>
      <c r="K160" s="228"/>
      <c r="L160" s="228"/>
      <c r="M160" s="228"/>
      <c r="O160" s="241" t="s">
        <v>381</v>
      </c>
      <c r="P160" s="241">
        <v>9457.8700000000008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382</v>
      </c>
      <c r="H161" s="223">
        <v>13089.21</v>
      </c>
      <c r="I161" s="164"/>
      <c r="K161" s="228"/>
      <c r="L161" s="228"/>
      <c r="M161" s="228"/>
      <c r="O161" s="241" t="s">
        <v>382</v>
      </c>
      <c r="P161" s="241">
        <v>13290.88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383</v>
      </c>
      <c r="H162" s="223">
        <v>12282.67</v>
      </c>
      <c r="I162" s="164"/>
      <c r="K162" s="228"/>
      <c r="L162" s="228"/>
      <c r="M162" s="228"/>
      <c r="O162" s="241" t="s">
        <v>383</v>
      </c>
      <c r="P162" s="241">
        <v>11705.01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384</v>
      </c>
      <c r="H163" s="223">
        <v>39991.24</v>
      </c>
      <c r="I163" s="164"/>
      <c r="K163" s="228"/>
      <c r="L163" s="228"/>
      <c r="M163" s="228"/>
      <c r="O163" s="241" t="s">
        <v>384</v>
      </c>
      <c r="P163" s="241">
        <v>37468.44</v>
      </c>
    </row>
    <row r="164" spans="2:16" x14ac:dyDescent="0.2">
      <c r="B164" s="190" t="s">
        <v>322</v>
      </c>
      <c r="C164" s="193">
        <v>43573</v>
      </c>
      <c r="D164" s="190">
        <v>2731.24813442</v>
      </c>
      <c r="E164" s="223">
        <v>1</v>
      </c>
      <c r="F164" s="209"/>
      <c r="G164" s="223" t="s">
        <v>385</v>
      </c>
      <c r="H164" s="223">
        <v>6528.07</v>
      </c>
      <c r="I164" s="164"/>
      <c r="K164" s="228"/>
      <c r="L164" s="228"/>
      <c r="M164" s="228"/>
      <c r="O164" s="241" t="s">
        <v>385</v>
      </c>
      <c r="P164" s="241">
        <v>5772.68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386</v>
      </c>
      <c r="H165" s="223">
        <v>10313.06</v>
      </c>
      <c r="I165" s="164"/>
      <c r="K165" s="228"/>
      <c r="L165" s="228"/>
      <c r="M165" s="228"/>
      <c r="O165" s="241" t="s">
        <v>386</v>
      </c>
      <c r="P165" s="241">
        <v>9857.68</v>
      </c>
    </row>
    <row r="166" spans="2:16" x14ac:dyDescent="0.2">
      <c r="B166" s="190" t="s">
        <v>553</v>
      </c>
      <c r="C166" s="193">
        <v>42488</v>
      </c>
      <c r="D166" s="190">
        <v>19062.31522</v>
      </c>
      <c r="E166" s="223">
        <v>1</v>
      </c>
      <c r="F166" s="209"/>
      <c r="G166" s="223" t="s">
        <v>387</v>
      </c>
      <c r="H166" s="223">
        <v>12098.12</v>
      </c>
      <c r="I166" s="164"/>
      <c r="K166" s="228"/>
      <c r="L166" s="228"/>
      <c r="M166" s="228"/>
      <c r="O166" s="241" t="s">
        <v>387</v>
      </c>
      <c r="P166" s="241">
        <v>11029.16</v>
      </c>
    </row>
    <row r="167" spans="2:16" x14ac:dyDescent="0.2">
      <c r="B167" s="190" t="s">
        <v>554</v>
      </c>
      <c r="C167" s="193">
        <v>42305</v>
      </c>
      <c r="D167" s="190">
        <v>18548.60542</v>
      </c>
      <c r="E167" s="223">
        <v>1</v>
      </c>
      <c r="F167" s="209"/>
      <c r="G167" s="223" t="s">
        <v>388</v>
      </c>
      <c r="H167" s="223">
        <v>4430.6499999999996</v>
      </c>
      <c r="I167" s="164"/>
      <c r="K167" s="228"/>
      <c r="L167" s="228"/>
      <c r="M167" s="228"/>
      <c r="O167" s="241" t="s">
        <v>388</v>
      </c>
      <c r="P167" s="241">
        <v>4465.45</v>
      </c>
    </row>
    <row r="168" spans="2:16" x14ac:dyDescent="0.2">
      <c r="B168" s="190" t="s">
        <v>555</v>
      </c>
      <c r="C168" s="193">
        <v>42578</v>
      </c>
      <c r="D168" s="190">
        <v>13742.29947</v>
      </c>
      <c r="E168" s="223">
        <v>1</v>
      </c>
      <c r="F168" s="209"/>
      <c r="G168" s="223" t="s">
        <v>389</v>
      </c>
      <c r="H168" s="223">
        <v>20114.189999999999</v>
      </c>
      <c r="I168" s="164"/>
      <c r="K168" s="228"/>
      <c r="L168" s="228"/>
      <c r="M168" s="228"/>
      <c r="O168" s="241" t="s">
        <v>389</v>
      </c>
      <c r="P168" s="241">
        <v>18716.240000000002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390</v>
      </c>
      <c r="H169" s="223">
        <v>14219.75</v>
      </c>
      <c r="I169" s="164"/>
      <c r="K169" s="228"/>
      <c r="L169" s="228"/>
      <c r="M169" s="228"/>
      <c r="O169" s="241" t="s">
        <v>390</v>
      </c>
      <c r="P169" s="241">
        <v>13509.47</v>
      </c>
    </row>
    <row r="170" spans="2:16" x14ac:dyDescent="0.2">
      <c r="B170" s="190" t="s">
        <v>325</v>
      </c>
      <c r="C170" s="193">
        <v>43585</v>
      </c>
      <c r="D170" s="190">
        <v>88725.880217309998</v>
      </c>
      <c r="E170" s="223">
        <v>1</v>
      </c>
      <c r="F170" s="209"/>
      <c r="G170" s="223" t="s">
        <v>391</v>
      </c>
      <c r="H170" s="223">
        <v>18273.87</v>
      </c>
      <c r="I170" s="164"/>
      <c r="K170" s="228"/>
      <c r="L170" s="228"/>
      <c r="M170" s="228"/>
      <c r="O170" s="241" t="s">
        <v>391</v>
      </c>
      <c r="P170" s="241">
        <v>17064.3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392</v>
      </c>
      <c r="H171" s="223">
        <v>4928.91</v>
      </c>
      <c r="I171" s="164"/>
      <c r="K171" s="228"/>
      <c r="L171" s="228"/>
      <c r="M171" s="228"/>
      <c r="O171" s="241" t="s">
        <v>392</v>
      </c>
      <c r="P171" s="241">
        <v>4997.45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393</v>
      </c>
      <c r="H172" s="223">
        <v>18080.86</v>
      </c>
      <c r="I172" s="164"/>
      <c r="K172" s="228"/>
      <c r="L172" s="228"/>
      <c r="M172" s="228"/>
      <c r="O172" s="241" t="s">
        <v>393</v>
      </c>
      <c r="P172" s="241">
        <v>16827.18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394</v>
      </c>
      <c r="H173" s="223">
        <v>13483.06</v>
      </c>
      <c r="I173" s="164"/>
      <c r="K173" s="228"/>
      <c r="L173" s="228"/>
      <c r="M173" s="228"/>
      <c r="O173" s="241" t="s">
        <v>394</v>
      </c>
      <c r="P173" s="241">
        <v>12887.7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395</v>
      </c>
      <c r="H174" s="223">
        <v>16445.16</v>
      </c>
      <c r="I174" s="164"/>
      <c r="K174" s="228"/>
      <c r="L174" s="228"/>
      <c r="M174" s="228"/>
      <c r="O174" s="241" t="s">
        <v>395</v>
      </c>
      <c r="P174" s="241">
        <v>15450.1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396</v>
      </c>
      <c r="H175" s="223">
        <v>53937.623449519997</v>
      </c>
      <c r="I175" s="164"/>
      <c r="K175" s="228"/>
      <c r="L175" s="228"/>
      <c r="M175" s="228"/>
      <c r="O175" s="241" t="s">
        <v>396</v>
      </c>
      <c r="P175" s="241">
        <v>51579.908912309998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/>
      <c r="H176" s="223"/>
      <c r="I176" s="164"/>
      <c r="K176" s="228"/>
      <c r="L176" s="228"/>
      <c r="M176" s="228"/>
      <c r="O176" s="241"/>
      <c r="P176" s="241"/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/>
      <c r="H177" s="223"/>
      <c r="I177" s="164"/>
      <c r="K177" s="228"/>
      <c r="L177" s="228"/>
      <c r="M177" s="228"/>
      <c r="O177" s="241"/>
      <c r="P177" s="241"/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/>
      <c r="H178" s="223"/>
      <c r="I178" s="164"/>
      <c r="K178" s="228"/>
      <c r="L178" s="228"/>
      <c r="M178" s="228"/>
      <c r="O178" s="241"/>
      <c r="P178" s="241"/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/>
      <c r="H179" s="223"/>
      <c r="I179" s="164"/>
      <c r="K179" s="228"/>
      <c r="L179" s="228"/>
      <c r="M179" s="228"/>
      <c r="O179" s="241"/>
      <c r="P179" s="241"/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43348</v>
      </c>
      <c r="D182" s="190">
        <v>98.026254199999997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43347</v>
      </c>
      <c r="D192" s="190">
        <v>11098.43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43348</v>
      </c>
      <c r="D193" s="190">
        <v>19072.88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43565</v>
      </c>
      <c r="D194" s="190">
        <v>6681.17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43563</v>
      </c>
      <c r="D195" s="190">
        <v>6436.54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43573</v>
      </c>
      <c r="D214" s="190">
        <v>7997.68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43585</v>
      </c>
      <c r="D217" s="190">
        <v>20963.64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43563</v>
      </c>
      <c r="D226" s="190">
        <v>6623.77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43585</v>
      </c>
      <c r="D242" s="190">
        <v>53937.623449519997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23"/>
      <c r="G2" s="423"/>
      <c r="H2" s="423"/>
      <c r="I2" s="423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2019-05-15T07:00:00+00:00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2603C972-F5F6-402D-A564-AE72505AF8AB}"/>
</file>

<file path=customXml/itemProps2.xml><?xml version="1.0" encoding="utf-8"?>
<ds:datastoreItem xmlns:ds="http://schemas.openxmlformats.org/officeDocument/2006/customXml" ds:itemID="{8602E086-95F8-4243-BFFD-2E31F586C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C54F4-B7C9-4F19-972C-E732F0124192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5d7cc70-31c1-4b2e-9a12-faea9898ee50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MarketProfile</vt:lpstr>
      <vt:lpstr>ITaC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20190430</dc:title>
  <dc:creator>rapelangm</dc:creator>
  <cp:lastModifiedBy>Julia Maluleka</cp:lastModifiedBy>
  <cp:lastPrinted>2019-05-09T08:04:07Z</cp:lastPrinted>
  <dcterms:created xsi:type="dcterms:W3CDTF">2009-10-22T12:59:48Z</dcterms:created>
  <dcterms:modified xsi:type="dcterms:W3CDTF">2019-05-15T08:24:04Z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