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juliam\AppData\Local\Microsoft\Windows\INetCache\Content.Outlook\KQUQPWU7\"/>
    </mc:Choice>
  </mc:AlternateContent>
  <xr:revisionPtr revIDLastSave="0" documentId="13_ncr:1_{01281017-E813-44AC-BA0E-0AF9A42700BC}"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5" i="1" l="1"/>
  <c r="I205" i="1"/>
  <c r="H206" i="1"/>
  <c r="I206" i="1"/>
  <c r="H207" i="1"/>
  <c r="I207" i="1"/>
  <c r="H208" i="1"/>
  <c r="I208" i="1"/>
  <c r="H209" i="1"/>
  <c r="I209" i="1"/>
  <c r="I204" i="1"/>
  <c r="H204" i="1"/>
  <c r="H213" i="1"/>
  <c r="I213" i="1"/>
  <c r="H214" i="1"/>
  <c r="I214" i="1"/>
  <c r="H215" i="1"/>
  <c r="I215" i="1"/>
  <c r="H216" i="1"/>
  <c r="I216" i="1"/>
  <c r="H217" i="1"/>
  <c r="I217" i="1"/>
  <c r="H218" i="1"/>
  <c r="I218" i="1"/>
  <c r="H219" i="1"/>
  <c r="I219" i="1"/>
  <c r="I212" i="1"/>
  <c r="H212" i="1"/>
  <c r="H234" i="1" l="1"/>
  <c r="I234" i="1"/>
  <c r="H235" i="1"/>
  <c r="I235" i="1"/>
  <c r="H236" i="1"/>
  <c r="I236" i="1"/>
  <c r="H237" i="1"/>
  <c r="I237" i="1"/>
  <c r="H238" i="1"/>
  <c r="I238" i="1"/>
  <c r="H239" i="1"/>
  <c r="I239" i="1"/>
  <c r="H240" i="1"/>
  <c r="I240" i="1"/>
  <c r="I233" i="1"/>
  <c r="H233" i="1"/>
  <c r="H223" i="1"/>
  <c r="I223" i="1"/>
  <c r="H224" i="1"/>
  <c r="I224" i="1"/>
  <c r="H225" i="1"/>
  <c r="I225" i="1"/>
  <c r="H226" i="1"/>
  <c r="I226" i="1"/>
  <c r="H227" i="1"/>
  <c r="I227" i="1"/>
  <c r="H228" i="1"/>
  <c r="I228" i="1"/>
  <c r="H229" i="1"/>
  <c r="I229" i="1"/>
  <c r="H230" i="1"/>
  <c r="I230" i="1"/>
  <c r="I222" i="1"/>
  <c r="H222"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59" i="1"/>
  <c r="G360" i="1"/>
  <c r="G361" i="1"/>
  <c r="G362" i="1"/>
  <c r="G363" i="1"/>
  <c r="G364" i="1"/>
  <c r="G365" i="1"/>
  <c r="G358" i="1"/>
  <c r="G350" i="1"/>
  <c r="G351" i="1"/>
  <c r="G352" i="1"/>
  <c r="G353" i="1"/>
  <c r="G354" i="1"/>
  <c r="G355" i="1"/>
  <c r="G356" i="1"/>
  <c r="G349" i="1"/>
  <c r="C318" i="1" l="1"/>
  <c r="C317"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283" i="1"/>
  <c r="F201" i="1"/>
  <c r="C283" i="1"/>
  <c r="E283" i="1"/>
  <c r="D128" i="1"/>
  <c r="B128" i="1"/>
  <c r="C100" i="1"/>
  <c r="G100" i="1"/>
  <c r="B100" i="1"/>
  <c r="B31" i="1"/>
  <c r="G318" i="1"/>
  <c r="I318" i="1" s="1"/>
  <c r="G319" i="1"/>
  <c r="G320" i="1"/>
  <c r="G321" i="1"/>
  <c r="G322" i="1"/>
  <c r="G323" i="1"/>
  <c r="G324" i="1"/>
  <c r="G317" i="1"/>
  <c r="I317" i="1" s="1"/>
  <c r="G339" i="1"/>
  <c r="G340" i="1"/>
  <c r="G341" i="1"/>
  <c r="G342" i="1"/>
  <c r="G343" i="1"/>
  <c r="G344" i="1"/>
  <c r="G345" i="1"/>
  <c r="G338" i="1"/>
  <c r="G329" i="1"/>
  <c r="G330" i="1"/>
  <c r="G331" i="1"/>
  <c r="G332" i="1"/>
  <c r="G333" i="1"/>
  <c r="G334" i="1"/>
  <c r="G335" i="1"/>
  <c r="G328" i="1"/>
  <c r="G308" i="1"/>
  <c r="G309" i="1"/>
  <c r="G310" i="1"/>
  <c r="G311" i="1"/>
  <c r="G312" i="1"/>
  <c r="G313" i="1"/>
  <c r="G314" i="1"/>
  <c r="G307" i="1"/>
  <c r="G297" i="1"/>
  <c r="G298" i="1"/>
  <c r="G299" i="1"/>
  <c r="G300" i="1"/>
  <c r="G301" i="1"/>
  <c r="G302" i="1"/>
  <c r="G303" i="1"/>
  <c r="G296" i="1"/>
  <c r="G287" i="1"/>
  <c r="G288" i="1"/>
  <c r="G289" i="1"/>
  <c r="G290" i="1"/>
  <c r="G291" i="1"/>
  <c r="G292" i="1"/>
  <c r="G293" i="1"/>
  <c r="G286" i="1"/>
  <c r="E68" i="1" l="1"/>
  <c r="E74" i="1"/>
  <c r="E75" i="1"/>
  <c r="E77" i="1"/>
  <c r="E69" i="1"/>
  <c r="E71" i="1"/>
  <c r="E70" i="1"/>
  <c r="E76" i="1"/>
  <c r="E89" i="1"/>
  <c r="E92" i="1"/>
  <c r="E86" i="1"/>
  <c r="E87" i="1"/>
  <c r="E93" i="1"/>
  <c r="E95" i="1"/>
  <c r="E88" i="1"/>
  <c r="E94" i="1"/>
  <c r="G325" i="1"/>
  <c r="G304" i="1"/>
  <c r="G294" i="1"/>
  <c r="C339" i="1"/>
  <c r="I339" i="1" s="1"/>
  <c r="C340" i="1"/>
  <c r="I340" i="1" s="1"/>
  <c r="C341" i="1"/>
  <c r="I341" i="1" s="1"/>
  <c r="C342" i="1"/>
  <c r="I342" i="1" s="1"/>
  <c r="C343" i="1"/>
  <c r="I343" i="1" s="1"/>
  <c r="C344" i="1"/>
  <c r="I344" i="1" s="1"/>
  <c r="C345" i="1"/>
  <c r="I345" i="1" s="1"/>
  <c r="C338" i="1"/>
  <c r="I338" i="1" s="1"/>
  <c r="D286" i="1"/>
  <c r="G346" i="1"/>
  <c r="G336" i="1"/>
  <c r="G315" i="1"/>
  <c r="D359" i="1"/>
  <c r="D360" i="1"/>
  <c r="D361" i="1"/>
  <c r="D362" i="1"/>
  <c r="D363" i="1"/>
  <c r="D364" i="1"/>
  <c r="D365" i="1"/>
  <c r="D358" i="1"/>
  <c r="D350" i="1"/>
  <c r="D351" i="1"/>
  <c r="D352" i="1"/>
  <c r="D353" i="1"/>
  <c r="D354" i="1"/>
  <c r="D355" i="1"/>
  <c r="D356" i="1"/>
  <c r="D349" i="1"/>
  <c r="C359" i="1"/>
  <c r="I359" i="1" s="1"/>
  <c r="C360" i="1"/>
  <c r="I360" i="1" s="1"/>
  <c r="C361" i="1"/>
  <c r="I361" i="1" s="1"/>
  <c r="C362" i="1"/>
  <c r="I362" i="1" s="1"/>
  <c r="C363" i="1"/>
  <c r="I363" i="1" s="1"/>
  <c r="C364" i="1"/>
  <c r="I364" i="1" s="1"/>
  <c r="C365" i="1"/>
  <c r="I365" i="1" s="1"/>
  <c r="C358" i="1"/>
  <c r="I358" i="1" s="1"/>
  <c r="C350" i="1"/>
  <c r="I350" i="1" s="1"/>
  <c r="C351" i="1"/>
  <c r="I351" i="1" s="1"/>
  <c r="C352" i="1"/>
  <c r="I352" i="1" s="1"/>
  <c r="C353" i="1"/>
  <c r="I353" i="1" s="1"/>
  <c r="C354" i="1"/>
  <c r="I354" i="1" s="1"/>
  <c r="C355" i="1"/>
  <c r="I355" i="1" s="1"/>
  <c r="C356" i="1"/>
  <c r="I356" i="1" s="1"/>
  <c r="C349" i="1"/>
  <c r="I349" i="1" s="1"/>
  <c r="D339" i="1"/>
  <c r="F339" i="1" s="1"/>
  <c r="D340" i="1"/>
  <c r="D341" i="1"/>
  <c r="D342" i="1"/>
  <c r="D343" i="1"/>
  <c r="D344" i="1"/>
  <c r="D345" i="1"/>
  <c r="D338" i="1"/>
  <c r="D329" i="1"/>
  <c r="D330" i="1"/>
  <c r="D331" i="1"/>
  <c r="D332" i="1"/>
  <c r="D333" i="1"/>
  <c r="D334" i="1"/>
  <c r="D335" i="1"/>
  <c r="D328" i="1"/>
  <c r="D318" i="1"/>
  <c r="F318" i="1" s="1"/>
  <c r="D319" i="1"/>
  <c r="D320" i="1"/>
  <c r="D321" i="1"/>
  <c r="D322" i="1"/>
  <c r="D323" i="1"/>
  <c r="D324" i="1"/>
  <c r="D308" i="1"/>
  <c r="D309" i="1"/>
  <c r="D310" i="1"/>
  <c r="D311" i="1"/>
  <c r="D312" i="1"/>
  <c r="D313" i="1"/>
  <c r="D314" i="1"/>
  <c r="D307" i="1"/>
  <c r="D317" i="1"/>
  <c r="D297" i="1"/>
  <c r="D298" i="1"/>
  <c r="D299" i="1"/>
  <c r="D300" i="1"/>
  <c r="D301" i="1"/>
  <c r="D302" i="1"/>
  <c r="D303" i="1"/>
  <c r="D296" i="1"/>
  <c r="D287" i="1"/>
  <c r="D288" i="1"/>
  <c r="D289" i="1"/>
  <c r="D290" i="1"/>
  <c r="D291" i="1"/>
  <c r="D292" i="1"/>
  <c r="D293" i="1"/>
  <c r="C329" i="1"/>
  <c r="I329" i="1" s="1"/>
  <c r="C330" i="1"/>
  <c r="I330" i="1" s="1"/>
  <c r="C331" i="1"/>
  <c r="I331" i="1" s="1"/>
  <c r="C332" i="1"/>
  <c r="I332" i="1" s="1"/>
  <c r="C333" i="1"/>
  <c r="I333" i="1" s="1"/>
  <c r="C334" i="1"/>
  <c r="I334" i="1" s="1"/>
  <c r="C335" i="1"/>
  <c r="I335" i="1" s="1"/>
  <c r="C328" i="1"/>
  <c r="I328" i="1" s="1"/>
  <c r="C320" i="1"/>
  <c r="I320" i="1" s="1"/>
  <c r="C321" i="1"/>
  <c r="I321" i="1" s="1"/>
  <c r="C322" i="1"/>
  <c r="I322" i="1" s="1"/>
  <c r="C323" i="1"/>
  <c r="I323" i="1" s="1"/>
  <c r="C324" i="1"/>
  <c r="I324" i="1" s="1"/>
  <c r="C319" i="1"/>
  <c r="C308" i="1"/>
  <c r="I308" i="1" s="1"/>
  <c r="C309" i="1"/>
  <c r="I309" i="1" s="1"/>
  <c r="C310" i="1"/>
  <c r="I310" i="1" s="1"/>
  <c r="C311" i="1"/>
  <c r="I311" i="1" s="1"/>
  <c r="C312" i="1"/>
  <c r="I312" i="1" s="1"/>
  <c r="C313" i="1"/>
  <c r="I313" i="1" s="1"/>
  <c r="C314" i="1"/>
  <c r="I314" i="1" s="1"/>
  <c r="C307" i="1"/>
  <c r="I307" i="1" s="1"/>
  <c r="C297" i="1"/>
  <c r="I297" i="1" s="1"/>
  <c r="C298" i="1"/>
  <c r="I298" i="1" s="1"/>
  <c r="C299" i="1"/>
  <c r="I299" i="1" s="1"/>
  <c r="C300" i="1"/>
  <c r="I300" i="1" s="1"/>
  <c r="C301" i="1"/>
  <c r="I301" i="1" s="1"/>
  <c r="C302" i="1"/>
  <c r="I302" i="1" s="1"/>
  <c r="C303" i="1"/>
  <c r="I303" i="1" s="1"/>
  <c r="C296" i="1"/>
  <c r="I296" i="1" s="1"/>
  <c r="C287" i="1"/>
  <c r="I287" i="1" s="1"/>
  <c r="C288" i="1"/>
  <c r="I288" i="1" s="1"/>
  <c r="C289" i="1"/>
  <c r="I289" i="1" s="1"/>
  <c r="C290" i="1"/>
  <c r="I290" i="1" s="1"/>
  <c r="C291" i="1"/>
  <c r="I291" i="1" s="1"/>
  <c r="C292" i="1"/>
  <c r="I292" i="1" s="1"/>
  <c r="C293" i="1"/>
  <c r="I293" i="1" s="1"/>
  <c r="C286" i="1"/>
  <c r="F243" i="1"/>
  <c r="G243" i="1" s="1"/>
  <c r="F234" i="1"/>
  <c r="G234" i="1" s="1"/>
  <c r="F235" i="1"/>
  <c r="G235" i="1" s="1"/>
  <c r="F236" i="1"/>
  <c r="G236" i="1" s="1"/>
  <c r="F237" i="1"/>
  <c r="G237" i="1" s="1"/>
  <c r="F238" i="1"/>
  <c r="G238" i="1" s="1"/>
  <c r="F239" i="1"/>
  <c r="G239" i="1" s="1"/>
  <c r="F240" i="1"/>
  <c r="G240" i="1" s="1"/>
  <c r="F233" i="1"/>
  <c r="G233" i="1" s="1"/>
  <c r="F223" i="1"/>
  <c r="G223" i="1" s="1"/>
  <c r="F224" i="1"/>
  <c r="G224" i="1" s="1"/>
  <c r="F225" i="1"/>
  <c r="G225" i="1" s="1"/>
  <c r="F226" i="1"/>
  <c r="G226" i="1" s="1"/>
  <c r="F227" i="1"/>
  <c r="G227" i="1" s="1"/>
  <c r="F228" i="1"/>
  <c r="G228" i="1" s="1"/>
  <c r="F229" i="1"/>
  <c r="G229" i="1" s="1"/>
  <c r="F230" i="1"/>
  <c r="G230" i="1" s="1"/>
  <c r="F222" i="1"/>
  <c r="G222" i="1" s="1"/>
  <c r="F213" i="1"/>
  <c r="G213" i="1" s="1"/>
  <c r="F214" i="1"/>
  <c r="G214" i="1" s="1"/>
  <c r="F215" i="1"/>
  <c r="G215" i="1" s="1"/>
  <c r="F216" i="1"/>
  <c r="G216" i="1" s="1"/>
  <c r="F217" i="1"/>
  <c r="G217" i="1" s="1"/>
  <c r="F218" i="1"/>
  <c r="G218" i="1" s="1"/>
  <c r="F219" i="1"/>
  <c r="G219" i="1" s="1"/>
  <c r="F212" i="1"/>
  <c r="G212" i="1" s="1"/>
  <c r="F205" i="1"/>
  <c r="G205" i="1" s="1"/>
  <c r="F206" i="1"/>
  <c r="G206" i="1" s="1"/>
  <c r="F207" i="1"/>
  <c r="G207" i="1" s="1"/>
  <c r="F208" i="1"/>
  <c r="G208" i="1" s="1"/>
  <c r="F209" i="1"/>
  <c r="G209" i="1" s="1"/>
  <c r="F204" i="1"/>
  <c r="G204" i="1" s="1"/>
  <c r="H243" i="1"/>
  <c r="I243" i="1"/>
  <c r="D31" i="1"/>
  <c r="D30" i="1"/>
  <c r="D29" i="1"/>
  <c r="C31" i="1"/>
  <c r="C30" i="1"/>
  <c r="C29" i="1"/>
  <c r="B30" i="1"/>
  <c r="B29" i="1"/>
  <c r="C18" i="1"/>
  <c r="D18" i="1"/>
  <c r="D17" i="1"/>
  <c r="D16" i="1"/>
  <c r="C17" i="1"/>
  <c r="B18" i="1"/>
  <c r="B17" i="1"/>
  <c r="C16" i="1"/>
  <c r="B16" i="1"/>
  <c r="F343" i="1" l="1"/>
  <c r="E31" i="1"/>
  <c r="I319" i="1"/>
  <c r="C325" i="1"/>
  <c r="I325" i="1" s="1"/>
  <c r="F286" i="1"/>
  <c r="F313" i="1"/>
  <c r="F309" i="1"/>
  <c r="F333" i="1"/>
  <c r="F329" i="1"/>
  <c r="F365" i="1"/>
  <c r="F291" i="1"/>
  <c r="F301" i="1"/>
  <c r="F322" i="1"/>
  <c r="F312" i="1"/>
  <c r="F308" i="1"/>
  <c r="C294" i="1"/>
  <c r="I294" i="1" s="1"/>
  <c r="F287" i="1"/>
  <c r="F297" i="1"/>
  <c r="F293" i="1"/>
  <c r="F289" i="1"/>
  <c r="F303" i="1"/>
  <c r="F299" i="1"/>
  <c r="F324" i="1"/>
  <c r="F320" i="1"/>
  <c r="F335" i="1"/>
  <c r="F331" i="1"/>
  <c r="F345" i="1"/>
  <c r="F341" i="1"/>
  <c r="F307" i="1"/>
  <c r="F311" i="1"/>
  <c r="F356" i="1"/>
  <c r="F352" i="1"/>
  <c r="F361" i="1"/>
  <c r="F292" i="1"/>
  <c r="F288" i="1"/>
  <c r="F302" i="1"/>
  <c r="F298" i="1"/>
  <c r="F314" i="1"/>
  <c r="F310" i="1"/>
  <c r="F323" i="1"/>
  <c r="F319" i="1"/>
  <c r="F334" i="1"/>
  <c r="F330" i="1"/>
  <c r="F344" i="1"/>
  <c r="F340" i="1"/>
  <c r="F355" i="1"/>
  <c r="F351" i="1"/>
  <c r="F364" i="1"/>
  <c r="F360" i="1"/>
  <c r="F354" i="1"/>
  <c r="F350" i="1"/>
  <c r="F363" i="1"/>
  <c r="F359" i="1"/>
  <c r="F290" i="1"/>
  <c r="D304" i="1"/>
  <c r="F296" i="1"/>
  <c r="F300" i="1"/>
  <c r="D325" i="1"/>
  <c r="F317" i="1"/>
  <c r="F321" i="1"/>
  <c r="D336" i="1"/>
  <c r="F328" i="1"/>
  <c r="F332" i="1"/>
  <c r="D346" i="1"/>
  <c r="F338" i="1"/>
  <c r="F342" i="1"/>
  <c r="F349" i="1"/>
  <c r="F353" i="1"/>
  <c r="F358" i="1"/>
  <c r="F362" i="1"/>
  <c r="D294" i="1"/>
  <c r="I286" i="1"/>
  <c r="D315" i="1"/>
  <c r="C304" i="1"/>
  <c r="I304" i="1" s="1"/>
  <c r="C315" i="1"/>
  <c r="I315" i="1" s="1"/>
  <c r="C346" i="1"/>
  <c r="I346" i="1" s="1"/>
  <c r="C336" i="1"/>
  <c r="I336" i="1" s="1"/>
  <c r="E29" i="1"/>
  <c r="E30" i="1"/>
  <c r="J23" i="7"/>
  <c r="J22" i="7"/>
  <c r="J21" i="7"/>
  <c r="J20" i="7"/>
  <c r="J17" i="7"/>
  <c r="J16" i="7"/>
  <c r="J15" i="7"/>
  <c r="J14" i="7"/>
  <c r="J11" i="7"/>
  <c r="J10" i="7"/>
  <c r="J9" i="7"/>
  <c r="J8" i="7"/>
  <c r="J3" i="7"/>
  <c r="J4" i="7"/>
  <c r="J5" i="7"/>
  <c r="J2" i="7"/>
  <c r="B22" i="1"/>
  <c r="B23" i="1"/>
  <c r="D23" i="1"/>
  <c r="D22" i="1"/>
  <c r="C23" i="1"/>
  <c r="C22" i="1"/>
  <c r="D21" i="1"/>
  <c r="C21" i="1"/>
  <c r="B21" i="1"/>
  <c r="F325" i="1" l="1"/>
  <c r="B101" i="1"/>
  <c r="E21" i="1"/>
  <c r="F294" i="1"/>
  <c r="F346" i="1"/>
  <c r="F336" i="1"/>
  <c r="F315" i="1"/>
  <c r="F304"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46" i="1" l="1"/>
  <c r="H336" i="1"/>
  <c r="H325" i="1"/>
  <c r="H315" i="1"/>
  <c r="H304" i="1"/>
  <c r="H294" i="1"/>
  <c r="E346" i="1"/>
  <c r="E336" i="1"/>
  <c r="E315" i="1"/>
  <c r="E304" i="1"/>
  <c r="E294" i="1"/>
  <c r="A281" i="1"/>
  <c r="A198"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D22" i="6" s="1"/>
  <c r="C33" i="6"/>
  <c r="B33" i="6"/>
  <c r="C54" i="6"/>
  <c r="B54" i="6"/>
  <c r="C64" i="6"/>
  <c r="B64" i="6"/>
  <c r="E64" i="6"/>
  <c r="E54" i="6"/>
  <c r="E43" i="6"/>
  <c r="F43" i="6" s="1"/>
  <c r="E33" i="6"/>
  <c r="E22" i="6"/>
  <c r="D43" i="6"/>
  <c r="E12" i="6"/>
  <c r="F22" i="6" l="1"/>
  <c r="D33" i="6"/>
  <c r="D12" i="6"/>
  <c r="F64" i="6"/>
  <c r="D64" i="6"/>
  <c r="F12" i="6"/>
  <c r="F33" i="6"/>
  <c r="D54" i="6"/>
  <c r="F54" i="6"/>
  <c r="C59" i="1" l="1"/>
</calcChain>
</file>

<file path=xl/sharedStrings.xml><?xml version="1.0" encoding="utf-8"?>
<sst xmlns="http://schemas.openxmlformats.org/spreadsheetml/2006/main" count="2334" uniqueCount="727">
  <si>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</si>
  <si>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</si>
  <si>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</si>
  <si>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</si>
  <si>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</si>
  <si>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</si>
  <si>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</si>
  <si>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</si>
  <si>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</si>
  <si>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</si>
  <si>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</si>
  <si>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</si>
  <si>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</si>
  <si>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</si>
  <si>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</si>
  <si>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</si>
  <si>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</si>
  <si>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</si>
  <si>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</si>
  <si>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</si>
  <si>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</si>
  <si>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</si>
  <si>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</si>
  <si>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</si>
  <si>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</si>
  <si>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</si>
  <si>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</si>
  <si>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</si>
  <si>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</si>
  <si>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</si>
  <si>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</si>
  <si>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</si>
  <si>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</si>
  <si>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</si>
  <si>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</si>
  <si>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</si>
  <si>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</si>
  <si>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</si>
  <si>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</si>
  <si>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</si>
  <si>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</si>
  <si>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</si>
  <si>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</si>
  <si>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</si>
  <si>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</si>
  <si>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</si>
  <si>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</si>
  <si>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</si>
  <si>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</si>
  <si>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</si>
  <si>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</si>
  <si>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</si>
  <si>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</si>
  <si>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</si>
  <si>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</si>
  <si>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</si>
  <si>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</si>
  <si>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</si>
  <si>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</si>
  <si>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</si>
  <si>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</si>
  <si>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</si>
  <si>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</si>
  <si>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</si>
  <si>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</si>
  <si>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</si>
  <si>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</si>
  <si>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</si>
  <si>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</si>
  <si>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</si>
  <si>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</si>
  <si>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</si>
  <si>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</si>
  <si>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</si>
  <si>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</si>
  <si>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</si>
  <si>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</si>
  <si>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</si>
  <si>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</si>
  <si>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</si>
  <si>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</si>
  <si>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</si>
  <si>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</si>
  <si>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</si>
  <si>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</si>
  <si>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</si>
  <si>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</si>
  <si>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</si>
  <si>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</si>
  <si>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</si>
  <si>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</si>
  <si>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</si>
  <si>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</si>
  <si>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</si>
  <si>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</si>
  <si>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</si>
  <si>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</si>
  <si>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</si>
  <si>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</si>
  <si>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</si>
  <si>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</si>
  <si>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</si>
  <si>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</si>
  <si>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</si>
  <si>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</si>
  <si>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</si>
  <si>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</si>
  <si>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</si>
  <si>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</si>
  <si>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</si>
  <si>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</si>
  <si>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</si>
  <si>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</si>
  <si>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</si>
  <si>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</si>
  <si>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</si>
  <si>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</si>
  <si>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</si>
  <si>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</si>
  <si>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</si>
  <si>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</si>
  <si>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</si>
  <si>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</si>
  <si>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</si>
  <si>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</si>
  <si>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</si>
  <si>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</si>
  <si>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</si>
  <si>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</si>
  <si>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</si>
  <si>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</si>
  <si>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</si>
  <si>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</si>
  <si>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</si>
  <si>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</si>
  <si>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</si>
  <si>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</si>
  <si>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</si>
  <si>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</si>
  <si>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</si>
  <si>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</si>
  <si>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</si>
  <si>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</si>
  <si>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</si>
  <si>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</si>
  <si>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</si>
  <si>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</si>
  <si>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</si>
  <si>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</si>
  <si>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</si>
  <si>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</si>
  <si>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</si>
  <si>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</si>
  <si>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</si>
  <si>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</si>
  <si>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</si>
  <si>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</si>
  <si>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</si>
  <si>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</si>
  <si>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</si>
  <si>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</si>
  <si>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</si>
  <si>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</si>
  <si>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</si>
  <si>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</si>
  <si>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</si>
  <si>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</si>
  <si>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</si>
  <si>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</si>
  <si>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</si>
  <si>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</si>
  <si>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</si>
  <si>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</si>
  <si>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</si>
  <si>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</si>
  <si>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</si>
  <si>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</si>
  <si>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</si>
  <si>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</si>
  <si>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</si>
  <si>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</si>
  <si>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</si>
  <si>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</si>
  <si>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</si>
  <si>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</si>
  <si>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</si>
  <si>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</si>
  <si>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</si>
  <si>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</si>
  <si>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</si>
  <si>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</si>
  <si>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</si>
  <si>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</si>
  <si>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</si>
  <si>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</si>
  <si>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</si>
  <si>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</si>
  <si>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</si>
  <si>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</si>
  <si>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</si>
  <si>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</si>
  <si>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</si>
  <si>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</si>
  <si>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</si>
  <si>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</si>
  <si>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</si>
  <si>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</si>
  <si>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</si>
  <si>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</si>
  <si>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</si>
  <si>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</si>
  <si>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</si>
  <si>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</si>
  <si>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</si>
  <si>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</si>
  <si>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</si>
  <si>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</si>
  <si>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</si>
  <si>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</si>
  <si>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</si>
  <si>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</si>
  <si>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</si>
  <si>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</si>
  <si>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</si>
  <si>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</si>
  <si>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</si>
  <si>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</si>
  <si>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</si>
  <si>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</si>
  <si>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</si>
  <si>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</si>
  <si>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</si>
  <si>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</si>
  <si>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</si>
  <si>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</si>
  <si>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</si>
  <si>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</si>
  <si>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</si>
  <si>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</si>
  <si>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</si>
  <si>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</si>
  <si>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</si>
  <si>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</si>
  <si>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</si>
  <si>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</si>
  <si>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</si>
  <si>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</si>
  <si>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</si>
  <si>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</si>
  <si>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</si>
  <si>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</si>
  <si>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</si>
  <si>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</si>
  <si>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</si>
  <si>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</si>
  <si>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</si>
  <si>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</si>
  <si>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</si>
  <si>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</si>
  <si>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</si>
  <si>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</si>
  <si>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</si>
  <si>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</si>
  <si>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</si>
  <si>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</si>
  <si>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</si>
  <si>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</si>
  <si>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</si>
  <si>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</si>
  <si>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</si>
  <si>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</si>
  <si>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</si>
  <si>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</si>
  <si>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</si>
  <si>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</si>
  <si>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</si>
  <si>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</si>
  <si>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</si>
  <si>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</si>
  <si>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</si>
  <si>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</si>
  <si>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</si>
  <si>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</si>
  <si>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</si>
  <si>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</si>
  <si>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</si>
  <si>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</si>
  <si>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</si>
  <si>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</si>
  <si>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</si>
  <si>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</si>
  <si>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</si>
  <si>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</si>
  <si>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</si>
  <si>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</si>
  <si>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</si>
  <si>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</si>
  <si>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</si>
  <si>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</si>
  <si>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</si>
  <si>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</si>
  <si>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</si>
  <si>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</si>
  <si>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</si>
  <si>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</si>
  <si>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</si>
  <si>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</si>
  <si>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</si>
  <si>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</si>
  <si>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</si>
  <si>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</si>
  <si>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</si>
  <si>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</si>
  <si>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</si>
  <si>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</si>
  <si>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</si>
  <si>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</si>
  <si>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</si>
  <si>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</si>
  <si>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</si>
  <si>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</si>
  <si>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</si>
  <si>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</si>
  <si>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</si>
  <si>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</si>
  <si>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</si>
  <si>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</si>
  <si>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</si>
  <si>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</si>
  <si>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</si>
  <si>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</si>
  <si>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</si>
  <si>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</si>
  <si>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</si>
  <si>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</si>
  <si>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</si>
  <si>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</si>
  <si>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</si>
  <si>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</si>
  <si>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</si>
  <si>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</si>
  <si>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</si>
  <si>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</si>
  <si>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</si>
  <si>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</si>
  <si>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</si>
  <si>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</si>
  <si>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</si>
  <si>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</si>
  <si>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</si>
  <si>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</si>
  <si>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</si>
  <si>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</si>
  <si>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</si>
  <si>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</si>
  <si>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</si>
  <si>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</si>
  <si>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</si>
  <si>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</si>
  <si>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</si>
  <si>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</si>
  <si>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</si>
  <si>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</si>
  <si>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</si>
  <si>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</si>
  <si>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</si>
  <si>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</si>
  <si>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</si>
  <si>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</si>
  <si>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</si>
  <si>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</si>
  <si>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</si>
  <si>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</si>
  <si>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</si>
  <si>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</si>
  <si>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</si>
  <si>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</si>
  <si>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</si>
  <si>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</si>
  <si>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</si>
  <si>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</si>
  <si>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</si>
  <si>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</si>
  <si>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</si>
  <si>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</si>
  <si>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</si>
  <si>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</si>
  <si>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</si>
  <si>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</si>
  <si>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</si>
  <si>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</si>
  <si>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</si>
  <si>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</si>
  <si>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</si>
  <si>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</si>
  <si>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</si>
  <si>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</si>
  <si>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</si>
  <si>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</si>
  <si>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</si>
  <si>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</si>
  <si>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</si>
  <si>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</si>
  <si>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</si>
  <si>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</si>
  <si>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</si>
  <si>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</si>
  <si>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</si>
  <si>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</si>
  <si>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</si>
  <si>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</si>
  <si>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</si>
  <si>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</si>
  <si>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</si>
  <si>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</si>
  <si>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</si>
  <si>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</si>
  <si>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</si>
  <si>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</si>
  <si>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</si>
  <si>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</si>
  <si>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</si>
  <si>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</si>
  <si>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</si>
  <si>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</si>
  <si>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</si>
  <si>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</si>
  <si>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</si>
  <si>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</si>
  <si>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</si>
  <si>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</si>
  <si>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</si>
  <si>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</si>
  <si>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</si>
  <si>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</si>
  <si>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</si>
  <si>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</si>
  <si>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</si>
  <si>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</si>
  <si>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</si>
  <si>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</si>
  <si>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</si>
  <si>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</si>
  <si>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</si>
  <si>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</si>
  <si>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</si>
  <si>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</si>
  <si>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</si>
  <si>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</si>
  <si>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</si>
  <si>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</si>
  <si>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</si>
  <si>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</si>
  <si>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</si>
  <si>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</si>
  <si>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</si>
  <si>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</si>
  <si>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</si>
  <si>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</si>
  <si>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</si>
  <si>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</si>
  <si>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</si>
  <si>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</si>
  <si>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</si>
  <si>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</si>
  <si>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</si>
  <si>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</si>
  <si>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</si>
  <si>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</si>
  <si>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</si>
  <si>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</si>
  <si>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</si>
  <si>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</si>
  <si>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</si>
  <si>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</si>
  <si>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</si>
  <si>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</si>
  <si>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</si>
  <si>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</si>
  <si>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</si>
  <si>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</si>
  <si>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</si>
  <si>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</si>
  <si>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</si>
  <si>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</si>
  <si>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</si>
  <si>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</si>
  <si>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</si>
  <si>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</si>
  <si>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</si>
  <si>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</si>
  <si>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</si>
  <si>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</si>
  <si>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</si>
  <si>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</si>
  <si>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</si>
  <si>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</si>
  <si>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</si>
  <si>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</si>
  <si>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</si>
  <si>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</si>
  <si>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</si>
  <si>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</si>
  <si>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</si>
  <si>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</si>
  <si>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</si>
  <si>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</si>
  <si>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</si>
  <si>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Responsible Investment Index</t>
  </si>
  <si>
    <t>JS3512</t>
  </si>
  <si>
    <t>Energy</t>
  </si>
  <si>
    <t>JI0060</t>
  </si>
  <si>
    <t>JI0055</t>
  </si>
  <si>
    <t>JI0050</t>
  </si>
  <si>
    <t>Consumer Discretionary</t>
  </si>
  <si>
    <t>JI0040</t>
  </si>
  <si>
    <t>Consumer Staples</t>
  </si>
  <si>
    <t>JI0045</t>
  </si>
  <si>
    <t>JI0030</t>
  </si>
  <si>
    <t>JI0010</t>
  </si>
  <si>
    <t>JI0015</t>
  </si>
  <si>
    <t>JI0020</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</si>
  <si>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</si>
  <si>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</si>
  <si>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</si>
  <si>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</si>
  <si>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</si>
  <si>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</si>
  <si>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</si>
  <si>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</si>
  <si>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</si>
  <si>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</si>
  <si>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</si>
  <si>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</si>
  <si>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</si>
  <si>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</si>
  <si>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</si>
  <si>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</si>
  <si>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</si>
  <si>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</si>
  <si>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</si>
  <si>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</si>
  <si>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</si>
  <si>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</si>
  <si>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</si>
  <si>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</si>
  <si>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</si>
  <si>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</si>
  <si>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</si>
  <si>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</si>
  <si>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</si>
  <si>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</si>
  <si>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</si>
  <si>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</si>
  <si>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</si>
  <si>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</si>
  <si>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</si>
  <si>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</si>
  <si>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</si>
  <si>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</si>
  <si>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</si>
  <si>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</si>
  <si>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</si>
  <si>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</si>
  <si>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</si>
  <si>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</si>
  <si>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</si>
  <si>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</si>
  <si>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</si>
  <si>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</si>
  <si>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</si>
  <si>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</si>
  <si>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</si>
  <si>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</si>
  <si>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</si>
  <si>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</si>
  <si>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</si>
  <si>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</si>
  <si>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</si>
  <si>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</si>
  <si>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</si>
  <si>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</si>
  <si>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</si>
  <si>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</si>
  <si>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</si>
  <si>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</si>
  <si>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</si>
  <si>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</si>
  <si>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</si>
  <si>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</si>
  <si>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</si>
  <si>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</si>
  <si>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</si>
  <si>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</si>
  <si>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</si>
  <si>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</si>
  <si>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</si>
  <si>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</si>
  <si>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</si>
  <si>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</si>
  <si>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</si>
  <si>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</si>
  <si>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</si>
  <si>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</si>
  <si>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</si>
  <si>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</si>
  <si>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</si>
  <si>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</si>
  <si>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</si>
  <si>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</si>
  <si>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</si>
  <si>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</si>
  <si>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</si>
  <si>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</si>
  <si>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</si>
  <si>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</si>
  <si>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</si>
  <si>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</si>
  <si>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</si>
  <si>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</si>
  <si>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</si>
  <si>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J203CF</t>
  </si>
  <si>
    <t>J203DF</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</si>
  <si>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</si>
  <si>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</si>
  <si>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</si>
  <si>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</si>
  <si>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</si>
  <si>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</si>
  <si>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</si>
  <si>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</si>
  <si>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</si>
  <si>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</si>
  <si>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</si>
  <si>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</si>
  <si>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</si>
  <si>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</si>
  <si>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</si>
  <si>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</si>
  <si>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</si>
  <si>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</si>
  <si>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</si>
  <si>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</si>
  <si>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</si>
  <si>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</si>
  <si>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</si>
  <si>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</si>
  <si>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</si>
  <si>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</si>
  <si>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</si>
  <si>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</si>
  <si>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</si>
  <si>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</si>
  <si>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</si>
  <si>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</si>
  <si>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</si>
  <si>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</si>
  <si>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</si>
  <si>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</si>
  <si>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</si>
  <si>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</si>
  <si>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</si>
  <si>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</si>
  <si>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</si>
  <si>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</si>
  <si>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</si>
  <si>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</si>
  <si>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</si>
  <si>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</si>
  <si>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</si>
  <si>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</si>
  <si>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</si>
  <si>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</si>
  <si>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</si>
  <si>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SOYBEAN MEAL MAXI  CAN-DO</t>
  </si>
  <si>
    <t>QUANTO SOYBEAN OIL MAXI  CAN-DO</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</si>
  <si>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</si>
  <si>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</si>
  <si>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</si>
  <si>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</si>
  <si>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</si>
  <si>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</si>
  <si>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</si>
  <si>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</si>
  <si>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</si>
  <si>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</si>
  <si>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</si>
  <si>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</si>
  <si>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</si>
  <si>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</si>
  <si>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</si>
  <si>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</si>
  <si>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</si>
  <si>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</si>
  <si>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</si>
  <si>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</si>
  <si>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</si>
  <si>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</si>
  <si>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</si>
  <si>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</si>
  <si>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</si>
  <si>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</si>
  <si>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</si>
  <si>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</si>
  <si>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</si>
  <si>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</si>
  <si>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</si>
  <si>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</si>
  <si>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Option Exercise</t>
  </si>
  <si>
    <t>Other Trade - I</t>
  </si>
  <si>
    <t>Repo 1</t>
  </si>
  <si>
    <t>Repo 2</t>
  </si>
  <si>
    <t>Standard Trade</t>
  </si>
  <si>
    <t>Standard Trade (Spot)</t>
  </si>
  <si>
    <t>Structured Deal</t>
  </si>
  <si>
    <t>TradeMonth</t>
  </si>
  <si>
    <t>2021/11</t>
  </si>
  <si>
    <t>CorporateActionTypeCode</t>
  </si>
  <si>
    <t>SUM_TotalValue</t>
  </si>
  <si>
    <t>GI</t>
  </si>
  <si>
    <t>SI</t>
  </si>
  <si>
    <t>SO</t>
  </si>
  <si>
    <t>SS</t>
  </si>
  <si>
    <t>TU</t>
  </si>
  <si>
    <t>AS</t>
  </si>
  <si>
    <t>03/2020</t>
  </si>
  <si>
    <t>Note: The monthly "local liquidity"  using the value traded and Strate market capitalisation is 64.24%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</si>
</sst>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0.00_);_(* \(#,##0.00\);_(* &quot;-&quot;??_);_(@_)"/>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9">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8" fontId="25" fillId="0" borderId="0" xfId="0" applyNumberFormat="1" applyFont="1"/>
    <xf numFmtId="0" fontId="23" fillId="0" borderId="0" xfId="0" applyFont="1"/>
    <xf numFmtId="166"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6" fontId="0" fillId="0" borderId="0" xfId="0" applyNumberFormat="1" applyFont="1"/>
    <xf numFmtId="0" fontId="0" fillId="0" borderId="0" xfId="0" applyFont="1"/>
    <xf numFmtId="166" fontId="18" fillId="0" borderId="0" xfId="0" applyNumberFormat="1" applyFont="1" applyFill="1"/>
    <xf numFmtId="3" fontId="19" fillId="0" borderId="0" xfId="0" applyNumberFormat="1" applyFont="1"/>
    <xf numFmtId="166" fontId="23" fillId="0" borderId="0" xfId="0" applyNumberFormat="1" applyFont="1" applyFill="1"/>
    <xf numFmtId="166" fontId="0" fillId="0" borderId="0" xfId="0" applyNumberFormat="1" applyFont="1" applyFill="1"/>
    <xf numFmtId="166" fontId="22" fillId="0" borderId="0" xfId="0" applyNumberFormat="1" applyFont="1"/>
    <xf numFmtId="0" fontId="22" fillId="0" borderId="0" xfId="0" applyFont="1"/>
    <xf numFmtId="0" fontId="25" fillId="0" borderId="0" xfId="0" applyFont="1"/>
    <xf numFmtId="166" fontId="19" fillId="0" borderId="0" xfId="0" applyNumberFormat="1" applyFont="1"/>
    <xf numFmtId="167" fontId="0" fillId="0" borderId="0" xfId="0" applyNumberFormat="1" applyFont="1"/>
    <xf numFmtId="167" fontId="22" fillId="0" borderId="0" xfId="0" applyNumberFormat="1" applyFont="1"/>
    <xf numFmtId="0" fontId="22" fillId="0" borderId="0" xfId="0" applyFont="1" applyAlignment="1">
      <alignment horizontal="right"/>
    </xf>
    <xf numFmtId="166" fontId="27" fillId="0" borderId="0" xfId="0" applyNumberFormat="1" applyFont="1"/>
    <xf numFmtId="0" fontId="0" fillId="0" borderId="0" xfId="0"/>
    <xf numFmtId="0" fontId="27"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5" fillId="0" borderId="0" xfId="0" applyFont="1"/>
    <xf numFmtId="166" fontId="0" fillId="0" borderId="0" xfId="0" applyNumberFormat="1" applyFont="1" applyFill="1" applyBorder="1" applyAlignment="1">
      <alignment horizontal="right"/>
    </xf>
    <xf numFmtId="166" fontId="18" fillId="0" borderId="0" xfId="0" applyNumberFormat="1" applyFont="1"/>
    <xf numFmtId="166" fontId="23" fillId="0" borderId="0" xfId="0" applyNumberFormat="1" applyFont="1"/>
    <xf numFmtId="167" fontId="23" fillId="0" borderId="0" xfId="0" applyNumberFormat="1" applyFont="1"/>
    <xf numFmtId="0" fontId="47" fillId="0" borderId="0" xfId="0" applyFont="1"/>
    <xf numFmtId="167" fontId="0" fillId="0" borderId="0" xfId="0" applyNumberFormat="1" applyFont="1" applyAlignment="1">
      <alignment horizontal="right"/>
    </xf>
    <xf numFmtId="166" fontId="47" fillId="0" borderId="0" xfId="0" applyNumberFormat="1" applyFont="1"/>
    <xf numFmtId="166" fontId="46" fillId="0" borderId="0" xfId="0" applyNumberFormat="1" applyFont="1"/>
    <xf numFmtId="0" fontId="22" fillId="0" borderId="0" xfId="0" applyFont="1"/>
    <xf numFmtId="167"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6" fontId="0" fillId="0" borderId="0" xfId="0" applyNumberFormat="1" applyFont="1"/>
    <xf numFmtId="166" fontId="18" fillId="0" borderId="0" xfId="1" applyNumberFormat="1" applyFont="1"/>
    <xf numFmtId="0" fontId="22" fillId="0" borderId="0" xfId="0" applyFont="1"/>
    <xf numFmtId="0" fontId="22" fillId="0" borderId="0" xfId="0"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166" fontId="17" fillId="0" borderId="0" xfId="0" applyNumberFormat="1" applyFont="1"/>
    <xf numFmtId="0" fontId="17" fillId="0" borderId="0" xfId="0" applyFont="1"/>
    <xf numFmtId="166" fontId="16" fillId="0" borderId="0" xfId="0" applyNumberFormat="1" applyFont="1"/>
    <xf numFmtId="166" fontId="0" fillId="0" borderId="0" xfId="0" applyNumberFormat="1"/>
    <xf numFmtId="0" fontId="22" fillId="0" borderId="0" xfId="0" applyFont="1"/>
    <xf numFmtId="166" fontId="15" fillId="0" borderId="0" xfId="0" applyNumberFormat="1" applyFont="1"/>
    <xf numFmtId="166" fontId="14" fillId="0" borderId="0" xfId="0" applyNumberFormat="1" applyFont="1"/>
    <xf numFmtId="166" fontId="14" fillId="0" borderId="0" xfId="1" applyNumberFormat="1" applyFont="1"/>
    <xf numFmtId="166" fontId="14" fillId="0" borderId="0" xfId="0" applyNumberFormat="1" applyFont="1"/>
    <xf numFmtId="166" fontId="14" fillId="0" borderId="0" xfId="0" applyNumberFormat="1" applyFont="1"/>
    <xf numFmtId="166" fontId="14" fillId="0" borderId="0" xfId="0" applyNumberFormat="1" applyFont="1"/>
    <xf numFmtId="169" fontId="44" fillId="0" borderId="0" xfId="0" applyNumberFormat="1" applyFont="1" applyFill="1" applyBorder="1" applyAlignment="1">
      <alignment horizontal="right"/>
    </xf>
    <xf numFmtId="169"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0" fillId="0" borderId="0" xfId="0" applyBorder="1"/>
    <xf numFmtId="0" fontId="44" fillId="33" borderId="0" xfId="0" applyFont="1" applyFill="1"/>
    <xf numFmtId="0" fontId="0" fillId="33" borderId="0" xfId="0" applyFill="1"/>
    <xf numFmtId="171" fontId="0" fillId="33" borderId="0" xfId="0" applyNumberFormat="1" applyFill="1"/>
    <xf numFmtId="0" fontId="44" fillId="0" borderId="0" xfId="0" applyFont="1" applyFill="1" applyBorder="1" applyAlignment="1">
      <alignment horizontal="right" wrapText="1"/>
    </xf>
    <xf numFmtId="169" fontId="44" fillId="0" borderId="0" xfId="0" applyNumberFormat="1" applyFont="1" applyFill="1" applyBorder="1" applyAlignment="1">
      <alignment horizontal="right" wrapText="1"/>
    </xf>
    <xf numFmtId="14" fontId="0" fillId="0" borderId="0" xfId="0" applyNumberFormat="1" applyBorder="1"/>
    <xf numFmtId="171" fontId="22" fillId="0" borderId="0" xfId="0" applyNumberFormat="1" applyFont="1"/>
    <xf numFmtId="0" fontId="22" fillId="0" borderId="0" xfId="0" applyFont="1"/>
    <xf numFmtId="0" fontId="0" fillId="0" borderId="11" xfId="0" applyFont="1" applyBorder="1"/>
    <xf numFmtId="0" fontId="22"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2" fillId="0" borderId="11" xfId="0" applyNumberFormat="1" applyFont="1" applyBorder="1"/>
    <xf numFmtId="166" fontId="0" fillId="0" borderId="11" xfId="1" applyNumberFormat="1" applyFont="1" applyBorder="1"/>
    <xf numFmtId="0" fontId="0" fillId="0" borderId="12" xfId="0" applyFont="1" applyBorder="1"/>
    <xf numFmtId="0" fontId="22" fillId="0" borderId="12" xfId="0" applyFont="1" applyBorder="1"/>
    <xf numFmtId="166"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6" fontId="27" fillId="0" borderId="0" xfId="1" applyNumberFormat="1" applyFont="1"/>
    <xf numFmtId="166" fontId="27"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2" fillId="0" borderId="11" xfId="0" applyFont="1" applyBorder="1"/>
    <xf numFmtId="167"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Fill="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applyAlignment="1"/>
    <xf numFmtId="165" fontId="27" fillId="0" borderId="0" xfId="1" applyNumberFormat="1" applyFont="1"/>
    <xf numFmtId="0" fontId="27" fillId="0" borderId="0" xfId="0" applyFont="1" applyFill="1" applyAlignment="1">
      <alignment horizontal="right"/>
    </xf>
    <xf numFmtId="166" fontId="27" fillId="0" borderId="0" xfId="0" applyNumberFormat="1" applyFont="1" applyFill="1" applyAlignment="1">
      <alignment horizontal="right"/>
    </xf>
    <xf numFmtId="165"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6"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9" fillId="0" borderId="0" xfId="0" applyNumberFormat="1" applyFont="1"/>
    <xf numFmtId="166"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6"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6" fontId="0" fillId="0" borderId="0" xfId="0" applyNumberFormat="1" applyFont="1"/>
    <xf numFmtId="166" fontId="21" fillId="0" borderId="0" xfId="0" applyNumberFormat="1" applyFont="1"/>
    <xf numFmtId="166" fontId="22" fillId="0" borderId="0" xfId="0" applyNumberFormat="1" applyFont="1"/>
    <xf numFmtId="166" fontId="14" fillId="0" borderId="0" xfId="0" applyNumberFormat="1" applyFont="1"/>
    <xf numFmtId="0" fontId="6" fillId="0" borderId="0" xfId="586" applyFill="1"/>
    <xf numFmtId="0" fontId="54" fillId="0" borderId="0" xfId="586" applyFont="1" applyFill="1" applyAlignment="1"/>
    <xf numFmtId="165" fontId="14" fillId="0" borderId="0" xfId="46" applyFont="1"/>
    <xf numFmtId="165" fontId="54" fillId="0" borderId="0" xfId="46" applyFont="1" applyFill="1" applyAlignment="1"/>
    <xf numFmtId="165"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6" fontId="27" fillId="0" borderId="0" xfId="0" applyNumberFormat="1" applyFont="1"/>
    <xf numFmtId="166"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NumberFormat="1" applyFont="1" applyFill="1"/>
    <xf numFmtId="165" fontId="54" fillId="0" borderId="0" xfId="573" applyFont="1" applyFill="1" applyAlignment="1"/>
    <xf numFmtId="165" fontId="6"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6" fontId="27" fillId="0" borderId="0" xfId="0" applyNumberFormat="1" applyFont="1" applyFill="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6" fontId="27" fillId="0" borderId="0" xfId="0" applyNumberFormat="1" applyFont="1" applyAlignment="1">
      <alignment horizontal="right"/>
    </xf>
    <xf numFmtId="0" fontId="50" fillId="0" borderId="11" xfId="0" applyFont="1" applyBorder="1"/>
    <xf numFmtId="166" fontId="50" fillId="0" borderId="11" xfId="0" applyNumberFormat="1" applyFont="1" applyBorder="1"/>
    <xf numFmtId="166"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6" fontId="59" fillId="0" borderId="0" xfId="0" applyNumberFormat="1" applyFont="1" applyFill="1"/>
    <xf numFmtId="166"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27" fillId="0" borderId="0" xfId="0" applyNumberFormat="1" applyFont="1" applyFill="1" applyBorder="1" applyAlignment="1">
      <alignment horizontal="right"/>
    </xf>
    <xf numFmtId="166"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6" fontId="5" fillId="0" borderId="0" xfId="982" applyNumberFormat="1" applyFont="1" applyFill="1"/>
    <xf numFmtId="0" fontId="5" fillId="0" borderId="0" xfId="1100" applyFill="1"/>
    <xf numFmtId="0" fontId="5" fillId="0" borderId="0" xfId="1100" applyFill="1"/>
    <xf numFmtId="166"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6" fontId="5" fillId="0" borderId="0" xfId="1087" applyNumberFormat="1" applyFont="1" applyFill="1"/>
    <xf numFmtId="165" fontId="5" fillId="0" borderId="0" xfId="1087" applyNumberFormat="1" applyFont="1" applyFill="1"/>
    <xf numFmtId="166" fontId="27" fillId="0" borderId="0" xfId="0" applyNumberFormat="1" applyFont="1" applyFill="1"/>
    <xf numFmtId="166"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27" fillId="0" borderId="0" xfId="0" applyNumberFormat="1" applyFont="1"/>
    <xf numFmtId="166" fontId="50" fillId="0" borderId="0" xfId="0" applyNumberFormat="1" applyFont="1"/>
    <xf numFmtId="166" fontId="27" fillId="0" borderId="0" xfId="0" applyNumberFormat="1" applyFont="1" applyFill="1" applyAlignment="1">
      <alignment horizontal="right"/>
    </xf>
    <xf numFmtId="166" fontId="27" fillId="0" borderId="0" xfId="0" applyNumberFormat="1" applyFont="1" applyFill="1"/>
    <xf numFmtId="166" fontId="27" fillId="0" borderId="11" xfId="0" applyNumberFormat="1" applyFont="1" applyFill="1" applyBorder="1"/>
    <xf numFmtId="166" fontId="50" fillId="0" borderId="11" xfId="0" applyNumberFormat="1" applyFont="1" applyBorder="1"/>
    <xf numFmtId="167" fontId="27" fillId="0" borderId="0" xfId="0" applyNumberFormat="1" applyFont="1" applyAlignment="1">
      <alignment horizontal="right"/>
    </xf>
    <xf numFmtId="167" fontId="50" fillId="0" borderId="0" xfId="0" applyNumberFormat="1" applyFont="1"/>
    <xf numFmtId="14" fontId="27" fillId="0" borderId="0" xfId="0" applyNumberFormat="1" applyFont="1" applyFill="1" applyAlignment="1">
      <alignment horizontal="right"/>
    </xf>
    <xf numFmtId="166" fontId="50" fillId="0" borderId="0" xfId="0" applyNumberFormat="1" applyFont="1" applyFill="1"/>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27" fillId="0" borderId="0" xfId="0" applyNumberFormat="1" applyFont="1"/>
    <xf numFmtId="166" fontId="27" fillId="0" borderId="0" xfId="0" applyNumberFormat="1" applyFont="1" applyFill="1" applyAlignment="1">
      <alignment horizontal="right"/>
    </xf>
    <xf numFmtId="166" fontId="50" fillId="0" borderId="0" xfId="0" applyNumberFormat="1" applyFont="1"/>
    <xf numFmtId="166" fontId="27" fillId="0" borderId="0" xfId="0" applyNumberFormat="1" applyFont="1" applyFill="1"/>
    <xf numFmtId="166" fontId="50" fillId="0" borderId="11" xfId="0" applyNumberFormat="1" applyFont="1" applyBorder="1"/>
    <xf numFmtId="166" fontId="50" fillId="0" borderId="0" xfId="0" applyNumberFormat="1" applyFont="1" applyFill="1"/>
    <xf numFmtId="166" fontId="27" fillId="0" borderId="11" xfId="0" applyNumberFormat="1" applyFont="1" applyFill="1" applyBorder="1"/>
    <xf numFmtId="167" fontId="27" fillId="0" borderId="0" xfId="0" applyNumberFormat="1" applyFont="1" applyAlignment="1">
      <alignment horizontal="right"/>
    </xf>
    <xf numFmtId="164" fontId="0" fillId="0" borderId="0" xfId="0" applyNumberFormat="1" applyFont="1"/>
    <xf numFmtId="167" fontId="27" fillId="0" borderId="0" xfId="1" applyNumberFormat="1" applyFont="1" applyFill="1"/>
    <xf numFmtId="0" fontId="0" fillId="0" borderId="11" xfId="0" applyFont="1" applyFill="1" applyBorder="1"/>
    <xf numFmtId="168" fontId="27" fillId="0" borderId="0" xfId="0" applyNumberFormat="1" applyFont="1" applyFill="1" applyAlignment="1">
      <alignment horizontal="right"/>
    </xf>
    <xf numFmtId="166" fontId="0" fillId="0" borderId="0" xfId="1" applyNumberFormat="1" applyFont="1" applyAlignment="1">
      <alignment horizontal="center"/>
    </xf>
    <xf numFmtId="166" fontId="22"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6"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191</xdr:row>
      <xdr:rowOff>19049</xdr:rowOff>
    </xdr:from>
    <xdr:to>
      <xdr:col>8</xdr:col>
      <xdr:colOff>1028699</xdr:colOff>
      <xdr:row>196</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276</xdr:row>
      <xdr:rowOff>0</xdr:rowOff>
    </xdr:from>
    <xdr:to>
      <xdr:col>8</xdr:col>
      <xdr:colOff>1028699</xdr:colOff>
      <xdr:row>282</xdr:row>
      <xdr:rowOff>118110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66"/>
  <sheetViews>
    <sheetView showGridLines="0" tabSelected="1" zoomScaleNormal="100" workbookViewId="0">
      <selection activeCell="J9" sqref="J9"/>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44530</v>
      </c>
    </row>
    <row r="7" spans="1:12" x14ac:dyDescent="0.25">
      <c r="A7" s="107" t="str">
        <f>"Market Profile - "&amp; TEXT($H$3,"MMM")&amp;" "&amp;TEXT($H$3,"YYYY")</f>
        <v>Market Profile - Nov 2021</v>
      </c>
    </row>
    <row r="8" spans="1:12" x14ac:dyDescent="0.25">
      <c r="A8" s="107"/>
      <c r="G8" s="379" t="s">
        <v>176</v>
      </c>
      <c r="H8" s="379"/>
      <c r="I8" s="379"/>
    </row>
    <row r="9" spans="1:12" x14ac:dyDescent="0.25">
      <c r="A9" s="107"/>
      <c r="G9" s="379"/>
      <c r="H9" s="379"/>
      <c r="I9" s="379"/>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1" t="s">
        <v>148</v>
      </c>
      <c r="B13" s="268" t="s">
        <v>1</v>
      </c>
      <c r="C13" s="268" t="s">
        <v>157</v>
      </c>
      <c r="D13" s="268" t="s">
        <v>157</v>
      </c>
      <c r="E13" s="268" t="s">
        <v>2</v>
      </c>
      <c r="F13" s="268"/>
      <c r="G13" s="268"/>
      <c r="H13" s="268"/>
      <c r="I13" s="269"/>
      <c r="K13" s="165"/>
      <c r="L13" s="165"/>
    </row>
    <row r="14" spans="1:12" s="107" customFormat="1" ht="12.75" customHeight="1" x14ac:dyDescent="0.25">
      <c r="A14" s="381"/>
      <c r="B14" s="268" t="s">
        <v>3</v>
      </c>
      <c r="C14" s="268" t="s">
        <v>4</v>
      </c>
      <c r="D14" s="268" t="s">
        <v>4</v>
      </c>
      <c r="E14" s="268" t="s">
        <v>5</v>
      </c>
      <c r="F14" s="268"/>
      <c r="G14" s="268"/>
      <c r="H14" s="268"/>
      <c r="I14" s="269"/>
      <c r="K14" s="165"/>
      <c r="L14" s="165"/>
    </row>
    <row r="15" spans="1:12" s="107" customFormat="1" ht="12.75" customHeight="1" thickBot="1" x14ac:dyDescent="0.3">
      <c r="A15" s="382"/>
      <c r="B15" s="270" t="str">
        <f>TEXT($H$3,"MMM")&amp;" "&amp;TEXT($H$3,"YYYY")</f>
        <v>Nov 2021</v>
      </c>
      <c r="C15" s="270" t="str">
        <f>TEXT($H$3,"YYYY")</f>
        <v>2021</v>
      </c>
      <c r="D15" s="271">
        <f>TEXT($H$3,"YYYY")-1</f>
        <v>2020</v>
      </c>
      <c r="E15" s="272" t="s">
        <v>6</v>
      </c>
      <c r="F15" s="273">
        <f>TEXT($H$3,"YYYY")-1</f>
        <v>2020</v>
      </c>
      <c r="G15" s="273">
        <f>TEXT($H$3,"YYYY")-2</f>
        <v>2019</v>
      </c>
      <c r="H15" s="273">
        <f>TEXT($H$3,"YYYY")-3</f>
        <v>2018</v>
      </c>
      <c r="I15" s="273">
        <f>TEXT($H$3,"YYYY")-4</f>
        <v>2017</v>
      </c>
      <c r="J15" s="16"/>
      <c r="K15" s="165"/>
      <c r="L15" s="165"/>
    </row>
    <row r="16" spans="1:12" ht="12.75" customHeight="1" x14ac:dyDescent="0.25">
      <c r="A16" s="236" t="s">
        <v>107</v>
      </c>
      <c r="B16" s="126">
        <f>Data!D2</f>
        <v>6640331</v>
      </c>
      <c r="C16" s="126">
        <f>Data!D5</f>
        <v>76097555</v>
      </c>
      <c r="D16" s="237">
        <f>Data!D8</f>
        <v>86985996</v>
      </c>
      <c r="E16" s="274">
        <f>(C16-D16)/ABS(D16)</f>
        <v>-0.12517464305403825</v>
      </c>
      <c r="F16" s="368">
        <v>92970422</v>
      </c>
      <c r="G16" s="348">
        <v>76554772</v>
      </c>
      <c r="H16" s="348">
        <v>70356164</v>
      </c>
      <c r="I16" s="348">
        <v>67786095</v>
      </c>
      <c r="J16" s="3"/>
      <c r="K16" s="164"/>
      <c r="L16" s="164"/>
    </row>
    <row r="17" spans="1:12" ht="12.75" customHeight="1" x14ac:dyDescent="0.25">
      <c r="A17" s="236" t="s">
        <v>108</v>
      </c>
      <c r="B17" s="126">
        <f>Data!B2/1000000</f>
        <v>8498.9141330000002</v>
      </c>
      <c r="C17" s="126">
        <f>Data!B5/1000000</f>
        <v>115426.036852</v>
      </c>
      <c r="D17" s="237">
        <f>Data!B8/1000000</f>
        <v>107662.503237</v>
      </c>
      <c r="E17" s="274">
        <f t="shared" ref="E17:E18" si="0">(C17-D17)/ABS(D17)</f>
        <v>7.2109911822410055E-2</v>
      </c>
      <c r="F17" s="368">
        <v>117776</v>
      </c>
      <c r="G17" s="348">
        <v>82472</v>
      </c>
      <c r="H17" s="348">
        <v>91717</v>
      </c>
      <c r="I17" s="348">
        <v>85958</v>
      </c>
      <c r="J17" s="3"/>
      <c r="K17" s="164"/>
      <c r="L17" s="164"/>
    </row>
    <row r="18" spans="1:12" ht="12.75" customHeight="1" x14ac:dyDescent="0.25">
      <c r="A18" s="236" t="s">
        <v>109</v>
      </c>
      <c r="B18" s="126">
        <f>Data!C2/1000000</f>
        <v>451341.47339438641</v>
      </c>
      <c r="C18" s="126">
        <f>Data!C5/1000000</f>
        <v>5459955.3350096727</v>
      </c>
      <c r="D18" s="237">
        <f>Data!C8/1000000</f>
        <v>5379003.2977996189</v>
      </c>
      <c r="E18" s="274">
        <f t="shared" si="0"/>
        <v>1.5049635169989336E-2</v>
      </c>
      <c r="F18" s="368">
        <v>5791056</v>
      </c>
      <c r="G18" s="348">
        <v>5137534</v>
      </c>
      <c r="H18" s="348">
        <v>5537665</v>
      </c>
      <c r="I18" s="348">
        <v>5479433</v>
      </c>
      <c r="J18" s="3"/>
      <c r="K18" s="167"/>
      <c r="L18" s="164"/>
    </row>
    <row r="19" spans="1:12" ht="12.75" customHeight="1" x14ac:dyDescent="0.25">
      <c r="A19" s="236"/>
      <c r="B19" s="193"/>
      <c r="C19" s="126"/>
      <c r="D19" s="237"/>
      <c r="E19" s="236"/>
      <c r="F19" s="368"/>
      <c r="G19" s="348"/>
      <c r="H19" s="348"/>
      <c r="I19" s="348"/>
      <c r="J19" s="3"/>
      <c r="K19" s="164"/>
      <c r="L19" s="164"/>
    </row>
    <row r="20" spans="1:12" s="107" customFormat="1" ht="12.75" customHeight="1" x14ac:dyDescent="0.25">
      <c r="A20" s="276" t="s">
        <v>149</v>
      </c>
      <c r="B20" s="191"/>
      <c r="C20" s="191"/>
      <c r="D20" s="238"/>
      <c r="E20" s="236"/>
      <c r="F20" s="368"/>
      <c r="G20" s="348"/>
      <c r="H20" s="348"/>
      <c r="I20" s="348"/>
      <c r="J20" s="3"/>
      <c r="K20" s="164"/>
      <c r="L20" s="164"/>
    </row>
    <row r="21" spans="1:12" ht="12.75" customHeight="1" x14ac:dyDescent="0.25">
      <c r="A21" s="236" t="s">
        <v>107</v>
      </c>
      <c r="B21" s="126">
        <f>Data!F2</f>
        <v>1724</v>
      </c>
      <c r="C21" s="126">
        <f>Data!F5</f>
        <v>16817</v>
      </c>
      <c r="D21" s="237">
        <f>Data!F8</f>
        <v>15153</v>
      </c>
      <c r="E21" s="274">
        <f>(C21-D21)/ABS(D21)</f>
        <v>0.10981323830264635</v>
      </c>
      <c r="F21" s="368">
        <v>16383</v>
      </c>
      <c r="G21" s="348">
        <v>13577</v>
      </c>
      <c r="H21" s="348">
        <v>21951</v>
      </c>
      <c r="I21" s="348">
        <v>36150</v>
      </c>
      <c r="J21" s="3"/>
      <c r="K21" s="164"/>
      <c r="L21" s="164"/>
    </row>
    <row r="22" spans="1:12" ht="12.75" customHeight="1" x14ac:dyDescent="0.25">
      <c r="A22" s="236" t="s">
        <v>108</v>
      </c>
      <c r="B22" s="126">
        <f>Data!G2/1000000</f>
        <v>807.25350800000001</v>
      </c>
      <c r="C22" s="126">
        <f>Data!G5/1000000</f>
        <v>10918.516036000001</v>
      </c>
      <c r="D22" s="237">
        <f>Data!G8/1000000</f>
        <v>8469.5175359999994</v>
      </c>
      <c r="E22" s="274">
        <f t="shared" ref="E22:E23" si="1">(C22-D22)/ABS(D22)</f>
        <v>0.289154428170252</v>
      </c>
      <c r="F22" s="368">
        <v>9320</v>
      </c>
      <c r="G22" s="348">
        <v>7535</v>
      </c>
      <c r="H22" s="348">
        <v>8350</v>
      </c>
      <c r="I22" s="348">
        <v>10343</v>
      </c>
      <c r="J22" s="3"/>
      <c r="K22" s="164"/>
      <c r="L22" s="164"/>
    </row>
    <row r="23" spans="1:12" ht="12.75" customHeight="1" thickBot="1" x14ac:dyDescent="0.3">
      <c r="A23" s="277" t="s">
        <v>109</v>
      </c>
      <c r="B23" s="127">
        <f>Data!H2/1000000</f>
        <v>41667.479193831445</v>
      </c>
      <c r="C23" s="127">
        <f>Data!H5/1000000</f>
        <v>493617.88706675335</v>
      </c>
      <c r="D23" s="278">
        <f>Data!H8/1000000</f>
        <v>317255.63937369495</v>
      </c>
      <c r="E23" s="279">
        <f t="shared" si="1"/>
        <v>0.55589948863074912</v>
      </c>
      <c r="F23" s="371">
        <v>336907</v>
      </c>
      <c r="G23" s="349">
        <v>237942</v>
      </c>
      <c r="H23" s="349">
        <v>328909</v>
      </c>
      <c r="I23" s="349">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69"/>
      <c r="B26" s="268" t="s">
        <v>1</v>
      </c>
      <c r="C26" s="268" t="s">
        <v>157</v>
      </c>
      <c r="D26" s="268" t="s">
        <v>157</v>
      </c>
      <c r="E26" s="268" t="s">
        <v>8</v>
      </c>
      <c r="F26" s="268"/>
      <c r="G26" s="280"/>
      <c r="H26" s="269"/>
      <c r="I26" s="269"/>
      <c r="K26" s="165"/>
      <c r="L26" s="165"/>
    </row>
    <row r="27" spans="1:12" s="107" customFormat="1" ht="12.75" customHeight="1" x14ac:dyDescent="0.25">
      <c r="A27" s="281"/>
      <c r="B27" s="268" t="s">
        <v>3</v>
      </c>
      <c r="C27" s="268" t="s">
        <v>4</v>
      </c>
      <c r="D27" s="268" t="s">
        <v>4</v>
      </c>
      <c r="E27" s="268" t="s">
        <v>9</v>
      </c>
      <c r="F27" s="268"/>
      <c r="G27" s="268"/>
      <c r="H27" s="268"/>
      <c r="I27" s="269"/>
      <c r="K27" s="165"/>
      <c r="L27" s="165"/>
    </row>
    <row r="28" spans="1:12" s="107" customFormat="1" ht="12.75" customHeight="1" thickBot="1" x14ac:dyDescent="0.3">
      <c r="A28" s="282"/>
      <c r="B28" s="270" t="str">
        <f>TEXT($H$3,"MMM")&amp;" "&amp;TEXT($H$3,"YYYY")</f>
        <v>Nov 2021</v>
      </c>
      <c r="C28" s="270" t="str">
        <f>$C$15</f>
        <v>2021</v>
      </c>
      <c r="D28" s="270">
        <f>$D$15</f>
        <v>2020</v>
      </c>
      <c r="E28" s="272" t="s">
        <v>6</v>
      </c>
      <c r="F28" s="272">
        <f>$F$15</f>
        <v>2020</v>
      </c>
      <c r="G28" s="282">
        <f>$G$15</f>
        <v>2019</v>
      </c>
      <c r="H28" s="282">
        <f>$H$15</f>
        <v>2018</v>
      </c>
      <c r="I28" s="282">
        <f>$I$15</f>
        <v>2017</v>
      </c>
      <c r="K28" s="165"/>
      <c r="L28" s="165"/>
    </row>
    <row r="29" spans="1:12" ht="12.75" customHeight="1" x14ac:dyDescent="0.25">
      <c r="A29" s="236" t="s">
        <v>10</v>
      </c>
      <c r="B29" s="237">
        <f>Data!O2/1000000</f>
        <v>60008.229087629996</v>
      </c>
      <c r="C29" s="237">
        <f>Data!O5/1000000</f>
        <v>925436.22663079004</v>
      </c>
      <c r="D29" s="237">
        <f>Data!O8/1000000</f>
        <v>864584.27872165001</v>
      </c>
      <c r="E29" s="186">
        <f>C29-D29</f>
        <v>60851.947909140028</v>
      </c>
      <c r="F29" s="365">
        <v>941529</v>
      </c>
      <c r="G29" s="345">
        <v>899391</v>
      </c>
      <c r="H29" s="345">
        <v>1074516</v>
      </c>
      <c r="I29" s="283">
        <v>992119</v>
      </c>
      <c r="J29" s="128"/>
    </row>
    <row r="30" spans="1:12" ht="12.75" customHeight="1" x14ac:dyDescent="0.25">
      <c r="A30" s="236" t="s">
        <v>11</v>
      </c>
      <c r="B30" s="237">
        <f>Data!P2/1000000</f>
        <v>-77970.171967770002</v>
      </c>
      <c r="C30" s="237">
        <f>Data!P5/1000000</f>
        <v>-1051948.2103124999</v>
      </c>
      <c r="D30" s="237">
        <f>Data!P8/1000000</f>
        <v>-1001901.96848792</v>
      </c>
      <c r="E30" s="186">
        <f>C30-D30</f>
        <v>-50046.241824579891</v>
      </c>
      <c r="F30" s="365">
        <v>-1067119</v>
      </c>
      <c r="G30" s="345">
        <v>-1013558</v>
      </c>
      <c r="H30" s="345">
        <v>-1127559</v>
      </c>
      <c r="I30" s="283">
        <v>-1039685</v>
      </c>
      <c r="J30" s="128"/>
    </row>
    <row r="31" spans="1:12" s="107" customFormat="1" ht="12.75" customHeight="1" thickBot="1" x14ac:dyDescent="0.3">
      <c r="A31" s="284" t="s">
        <v>12</v>
      </c>
      <c r="B31" s="285">
        <f>Data!Q2/1000000</f>
        <v>-17961.942880139999</v>
      </c>
      <c r="C31" s="285">
        <f>Data!Q5/1000000</f>
        <v>-126511.98368171</v>
      </c>
      <c r="D31" s="285">
        <f>Data!Q8/1000000</f>
        <v>-137317.68976626999</v>
      </c>
      <c r="E31" s="286">
        <f>C31-D31</f>
        <v>10805.706084559992</v>
      </c>
      <c r="F31" s="369">
        <v>-125590</v>
      </c>
      <c r="G31" s="350">
        <v>-114167</v>
      </c>
      <c r="H31" s="350">
        <v>-53042</v>
      </c>
      <c r="I31" s="350">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7"/>
      <c r="B34" s="268" t="s">
        <v>1</v>
      </c>
      <c r="C34" s="268" t="s">
        <v>157</v>
      </c>
      <c r="D34" s="268" t="s">
        <v>157</v>
      </c>
      <c r="E34" s="288" t="s">
        <v>2</v>
      </c>
      <c r="F34" s="288"/>
      <c r="G34" s="280"/>
      <c r="H34" s="288"/>
      <c r="I34" s="287"/>
      <c r="K34" s="164"/>
      <c r="L34" s="165"/>
    </row>
    <row r="35" spans="1:14" s="107" customFormat="1" ht="12.75" customHeight="1" x14ac:dyDescent="0.25">
      <c r="A35" s="287"/>
      <c r="B35" s="268" t="s">
        <v>3</v>
      </c>
      <c r="C35" s="268" t="s">
        <v>4</v>
      </c>
      <c r="D35" s="268" t="s">
        <v>4</v>
      </c>
      <c r="E35" s="288" t="s">
        <v>5</v>
      </c>
      <c r="F35" s="268"/>
      <c r="G35" s="280"/>
      <c r="H35" s="288"/>
      <c r="I35" s="287"/>
      <c r="K35" s="164"/>
      <c r="L35" s="165"/>
    </row>
    <row r="36" spans="1:14" s="107" customFormat="1" ht="12.75" customHeight="1" thickBot="1" x14ac:dyDescent="0.3">
      <c r="A36" s="289"/>
      <c r="B36" s="270" t="str">
        <f>TEXT($H$3,"MMM")&amp;" "&amp;TEXT($H$3,"YYYY")</f>
        <v>Nov 2021</v>
      </c>
      <c r="C36" s="270" t="str">
        <f>$C$15</f>
        <v>2021</v>
      </c>
      <c r="D36" s="270">
        <f>$D$15</f>
        <v>2020</v>
      </c>
      <c r="E36" s="272" t="s">
        <v>6</v>
      </c>
      <c r="F36" s="272">
        <f>$F$15</f>
        <v>2020</v>
      </c>
      <c r="G36" s="282">
        <f>$G$15</f>
        <v>2019</v>
      </c>
      <c r="H36" s="282">
        <f>$H$15</f>
        <v>2018</v>
      </c>
      <c r="I36" s="282">
        <f>$I$15</f>
        <v>2017</v>
      </c>
      <c r="K36" s="166"/>
      <c r="L36" s="170"/>
    </row>
    <row r="37" spans="1:14" ht="12.75" customHeight="1" x14ac:dyDescent="0.25">
      <c r="A37" s="290" t="s">
        <v>133</v>
      </c>
      <c r="B37" s="291"/>
      <c r="C37" s="291"/>
      <c r="D37" s="291"/>
      <c r="E37" s="290"/>
      <c r="F37" s="290"/>
      <c r="G37" s="275"/>
      <c r="H37" s="290"/>
      <c r="I37" s="290"/>
      <c r="K37" s="164"/>
      <c r="M37" s="19"/>
      <c r="N37" s="19"/>
    </row>
    <row r="38" spans="1:14" ht="12.75" customHeight="1" x14ac:dyDescent="0.25">
      <c r="A38" s="292" t="s">
        <v>107</v>
      </c>
      <c r="B38" s="275">
        <f>Data!CK1</f>
        <v>30381</v>
      </c>
      <c r="C38" s="275">
        <f>Data!CK6</f>
        <v>305643</v>
      </c>
      <c r="D38" s="275">
        <f>Data!CK11</f>
        <v>316934</v>
      </c>
      <c r="E38" s="274">
        <f t="shared" ref="E38:E40" si="2">IFERROR(IF(OR(AND(D38="",C38=""),AND(D38=0,C38=0)),"",
IF(OR(D38="",D38=0),1,
IF(OR(D38&lt;&gt;"",D38&lt;&gt;0),(C38-D38)/ABS(D38)))),-1)</f>
        <v>-3.5625713871026775E-2</v>
      </c>
      <c r="F38" s="368">
        <v>335248</v>
      </c>
      <c r="G38" s="348">
        <v>291499</v>
      </c>
      <c r="H38" s="348">
        <v>302385</v>
      </c>
      <c r="I38" s="348">
        <v>291730</v>
      </c>
      <c r="J38" s="29"/>
      <c r="K38" s="164"/>
      <c r="M38" s="19"/>
      <c r="N38" s="19"/>
    </row>
    <row r="39" spans="1:14" ht="12.75" customHeight="1" x14ac:dyDescent="0.25">
      <c r="A39" s="292" t="s">
        <v>134</v>
      </c>
      <c r="B39" s="275">
        <f>Data!CK2/1000000</f>
        <v>1006373.532782</v>
      </c>
      <c r="C39" s="275">
        <f>Data!CK7/1000000</f>
        <v>9287458.0901909992</v>
      </c>
      <c r="D39" s="275">
        <f>Data!CK12/1000000</f>
        <v>10429638.655418999</v>
      </c>
      <c r="E39" s="274">
        <f t="shared" si="2"/>
        <v>-0.10951295658115151</v>
      </c>
      <c r="F39" s="368">
        <v>10949642</v>
      </c>
      <c r="G39" s="348">
        <v>9916268</v>
      </c>
      <c r="H39" s="348">
        <v>9185860</v>
      </c>
      <c r="I39" s="348">
        <v>7876304</v>
      </c>
      <c r="J39" s="27"/>
      <c r="K39" s="164"/>
    </row>
    <row r="40" spans="1:14" ht="12.75" customHeight="1" x14ac:dyDescent="0.25">
      <c r="A40" s="292" t="s">
        <v>135</v>
      </c>
      <c r="B40" s="275">
        <f>Data!CK3/1000000</f>
        <v>991876.31801433908</v>
      </c>
      <c r="C40" s="275">
        <f>Data!CK8/1000000</f>
        <v>9143115.7922884542</v>
      </c>
      <c r="D40" s="275">
        <f>Data!CK13/1000000</f>
        <v>10052603.832940929</v>
      </c>
      <c r="E40" s="274">
        <f t="shared" si="2"/>
        <v>-9.0472882028058602E-2</v>
      </c>
      <c r="F40" s="368">
        <v>10566924</v>
      </c>
      <c r="G40" s="348">
        <v>9975147</v>
      </c>
      <c r="H40" s="348">
        <v>9451509</v>
      </c>
      <c r="I40" s="348">
        <v>8198143</v>
      </c>
      <c r="J40" s="29"/>
      <c r="L40" s="169"/>
    </row>
    <row r="41" spans="1:14" ht="12.75" customHeight="1" x14ac:dyDescent="0.25">
      <c r="A41" s="292"/>
      <c r="B41" s="237"/>
      <c r="C41" s="293"/>
      <c r="D41" s="293"/>
      <c r="E41" s="175"/>
      <c r="F41" s="368"/>
      <c r="G41" s="348"/>
      <c r="H41" s="348"/>
      <c r="I41" s="348"/>
      <c r="M41" s="19"/>
      <c r="N41" s="19"/>
    </row>
    <row r="42" spans="1:14" s="107" customFormat="1" ht="12.75" customHeight="1" x14ac:dyDescent="0.25">
      <c r="A42" s="290" t="s">
        <v>136</v>
      </c>
      <c r="B42" s="275"/>
      <c r="C42" s="275"/>
      <c r="D42" s="275"/>
      <c r="E42" s="175"/>
      <c r="F42" s="368"/>
      <c r="G42" s="348"/>
      <c r="H42" s="348"/>
      <c r="I42" s="294"/>
      <c r="K42" s="165"/>
      <c r="L42" s="165"/>
      <c r="M42" s="16"/>
      <c r="N42" s="16"/>
    </row>
    <row r="43" spans="1:14" ht="12.75" customHeight="1" x14ac:dyDescent="0.25">
      <c r="A43" s="292" t="s">
        <v>107</v>
      </c>
      <c r="B43" s="275">
        <f>Data!CN1</f>
        <v>13882</v>
      </c>
      <c r="C43" s="275">
        <f>Data!CN6</f>
        <v>138789</v>
      </c>
      <c r="D43" s="275">
        <f>Data!CN11</f>
        <v>135068</v>
      </c>
      <c r="E43" s="274">
        <f t="shared" ref="E43:E45" si="3">IFERROR(IF(OR(AND(D43="",C43=""),AND(D43=0,C43=0)),"",
IF(OR(D43="",D43=0),1,
IF(OR(D43&lt;&gt;"",D43&lt;&gt;0),(C43-D43)/ABS(D43)))),-1)</f>
        <v>2.7549086386116622E-2</v>
      </c>
      <c r="F43" s="368">
        <v>143567</v>
      </c>
      <c r="G43" s="348">
        <v>177104</v>
      </c>
      <c r="H43" s="348">
        <v>161055</v>
      </c>
      <c r="I43" s="348">
        <v>153015</v>
      </c>
      <c r="J43" s="27"/>
      <c r="L43" s="165"/>
      <c r="M43" s="19"/>
      <c r="N43" s="19"/>
    </row>
    <row r="44" spans="1:14" ht="12.75" customHeight="1" x14ac:dyDescent="0.25">
      <c r="A44" s="292" t="s">
        <v>137</v>
      </c>
      <c r="B44" s="275">
        <f>Data!CN2/1000000</f>
        <v>2583381.7200620002</v>
      </c>
      <c r="C44" s="275">
        <f>Data!CN7/1000000</f>
        <v>23056669.868220001</v>
      </c>
      <c r="D44" s="275">
        <f>Data!CN12/1000000</f>
        <v>20308146.732579</v>
      </c>
      <c r="E44" s="274">
        <f t="shared" si="3"/>
        <v>0.13534091376401813</v>
      </c>
      <c r="F44" s="368">
        <v>21499151</v>
      </c>
      <c r="G44" s="348">
        <v>25798546</v>
      </c>
      <c r="H44" s="348">
        <v>20951365</v>
      </c>
      <c r="I44" s="348">
        <v>19085335</v>
      </c>
      <c r="J44" s="29"/>
      <c r="L44" s="165"/>
    </row>
    <row r="45" spans="1:14" ht="12.75" customHeight="1" x14ac:dyDescent="0.25">
      <c r="A45" s="292" t="s">
        <v>135</v>
      </c>
      <c r="B45" s="275">
        <f>Data!CN3/1000000</f>
        <v>2562337.866456504</v>
      </c>
      <c r="C45" s="275">
        <f>Data!CN8/1000000</f>
        <v>22362718.916238274</v>
      </c>
      <c r="D45" s="275">
        <f>Data!CN13/1000000</f>
        <v>19656269.418813463</v>
      </c>
      <c r="E45" s="274">
        <f t="shared" si="3"/>
        <v>0.13768886861280027</v>
      </c>
      <c r="F45" s="368">
        <v>20832617</v>
      </c>
      <c r="G45" s="348">
        <v>25522755</v>
      </c>
      <c r="H45" s="348">
        <v>20334924</v>
      </c>
      <c r="I45" s="348">
        <v>18571364</v>
      </c>
      <c r="J45" s="29"/>
      <c r="L45" s="165"/>
    </row>
    <row r="46" spans="1:14" ht="12.75" customHeight="1" x14ac:dyDescent="0.25">
      <c r="A46" s="292"/>
      <c r="B46" s="237"/>
      <c r="C46" s="293"/>
      <c r="D46" s="293"/>
      <c r="E46" s="175"/>
      <c r="F46" s="368"/>
      <c r="G46" s="348"/>
      <c r="H46" s="348"/>
      <c r="I46" s="348"/>
      <c r="L46" s="165"/>
    </row>
    <row r="47" spans="1:14" ht="12.75" customHeight="1" x14ac:dyDescent="0.25">
      <c r="A47" s="295" t="s">
        <v>143</v>
      </c>
      <c r="B47" s="237"/>
      <c r="C47" s="293"/>
      <c r="D47" s="293"/>
      <c r="E47" s="175"/>
      <c r="F47" s="368"/>
      <c r="G47" s="348"/>
      <c r="H47" s="348"/>
      <c r="I47" s="348"/>
      <c r="J47" s="27"/>
      <c r="L47" s="165"/>
    </row>
    <row r="48" spans="1:14" s="107" customFormat="1" ht="12.75" customHeight="1" x14ac:dyDescent="0.25">
      <c r="A48" s="292" t="s">
        <v>107</v>
      </c>
      <c r="B48" s="126">
        <f>Data!CQ1</f>
        <v>800</v>
      </c>
      <c r="C48" s="126">
        <f>Data!CQ6</f>
        <v>7890</v>
      </c>
      <c r="D48" s="237">
        <f>Data!CQ11</f>
        <v>10377</v>
      </c>
      <c r="E48" s="274">
        <f t="shared" ref="E48:E50" si="4">IFERROR(IF(OR(AND(D48="",C48=""),AND(D48=0,C48=0)),"",
IF(OR(D48="",D48=0),1,
IF(OR(D48&lt;&gt;"",D48&lt;&gt;0),(C48-D48)/ABS(D48)))),-1)</f>
        <v>-0.23966464296039316</v>
      </c>
      <c r="F48" s="368">
        <v>10968</v>
      </c>
      <c r="G48" s="348">
        <v>9100</v>
      </c>
      <c r="H48" s="348">
        <v>8603</v>
      </c>
      <c r="I48" s="348">
        <v>8729</v>
      </c>
      <c r="J48" s="27"/>
      <c r="K48" s="165"/>
      <c r="L48" s="169"/>
    </row>
    <row r="49" spans="1:12" s="107" customFormat="1" ht="12.75" customHeight="1" x14ac:dyDescent="0.25">
      <c r="A49" s="292" t="s">
        <v>137</v>
      </c>
      <c r="B49" s="126">
        <f>Data!CQ2/1000000</f>
        <v>64829.024832000003</v>
      </c>
      <c r="C49" s="126">
        <f>Data!CQ7/1000000</f>
        <v>687751.24811299995</v>
      </c>
      <c r="D49" s="237">
        <f>Data!CQ12/1000000</f>
        <v>914228.58598099998</v>
      </c>
      <c r="E49" s="274">
        <f t="shared" si="4"/>
        <v>-0.24772506716685275</v>
      </c>
      <c r="F49" s="368">
        <v>967584</v>
      </c>
      <c r="G49" s="348">
        <v>717436</v>
      </c>
      <c r="H49" s="348">
        <v>658610</v>
      </c>
      <c r="I49" s="348">
        <v>737277</v>
      </c>
      <c r="J49" s="32"/>
      <c r="K49" s="165"/>
      <c r="L49" s="169"/>
    </row>
    <row r="50" spans="1:12" s="107" customFormat="1" ht="12.75" customHeight="1" thickBot="1" x14ac:dyDescent="0.3">
      <c r="A50" s="296" t="s">
        <v>135</v>
      </c>
      <c r="B50" s="127">
        <f>Data!CQ3/1000000</f>
        <v>23717.670745259995</v>
      </c>
      <c r="C50" s="127">
        <f>Data!CQ8/1000000</f>
        <v>235549.03877876003</v>
      </c>
      <c r="D50" s="278">
        <f>Data!CQ13/1000000</f>
        <v>332208.98194490996</v>
      </c>
      <c r="E50" s="279">
        <f t="shared" si="4"/>
        <v>-0.29096125758026309</v>
      </c>
      <c r="F50" s="371">
        <v>343928</v>
      </c>
      <c r="G50" s="349">
        <v>223466</v>
      </c>
      <c r="H50" s="349">
        <v>206820</v>
      </c>
      <c r="I50" s="349">
        <v>305414</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7"/>
      <c r="B54" s="268" t="s">
        <v>1</v>
      </c>
      <c r="C54" s="268" t="s">
        <v>157</v>
      </c>
      <c r="D54" s="268" t="s">
        <v>157</v>
      </c>
      <c r="E54" s="288" t="s">
        <v>8</v>
      </c>
      <c r="F54" s="297"/>
      <c r="G54" s="280"/>
      <c r="H54" s="287"/>
      <c r="I54" s="287"/>
      <c r="J54" s="30"/>
    </row>
    <row r="55" spans="1:12" ht="12.75" customHeight="1" x14ac:dyDescent="0.25">
      <c r="A55" s="287"/>
      <c r="B55" s="268" t="s">
        <v>3</v>
      </c>
      <c r="C55" s="268" t="s">
        <v>4</v>
      </c>
      <c r="D55" s="268" t="s">
        <v>4</v>
      </c>
      <c r="E55" s="288" t="s">
        <v>9</v>
      </c>
      <c r="F55" s="297"/>
      <c r="G55" s="280"/>
      <c r="H55" s="287"/>
      <c r="I55" s="287"/>
      <c r="J55" s="30"/>
    </row>
    <row r="56" spans="1:12" ht="12.75" customHeight="1" thickBot="1" x14ac:dyDescent="0.3">
      <c r="A56" s="289"/>
      <c r="B56" s="270" t="str">
        <f>TEXT($H$3,"MMM")&amp;" "&amp;TEXT($H$3,"YYYY")</f>
        <v>Nov 2021</v>
      </c>
      <c r="C56" s="270" t="str">
        <f>$C$15</f>
        <v>2021</v>
      </c>
      <c r="D56" s="270">
        <f>$D$15</f>
        <v>2020</v>
      </c>
      <c r="E56" s="272" t="s">
        <v>6</v>
      </c>
      <c r="F56" s="272">
        <f>$F$15</f>
        <v>2020</v>
      </c>
      <c r="G56" s="282">
        <f>$G$15</f>
        <v>2019</v>
      </c>
      <c r="H56" s="282">
        <f>$H$15</f>
        <v>2018</v>
      </c>
      <c r="I56" s="282">
        <f>$I$15</f>
        <v>2017</v>
      </c>
      <c r="J56" s="107"/>
      <c r="L56" s="169"/>
    </row>
    <row r="57" spans="1:12" ht="12.75" customHeight="1" x14ac:dyDescent="0.25">
      <c r="A57" s="292" t="s">
        <v>140</v>
      </c>
      <c r="B57" s="275">
        <f>(SUMIFS(Data!$CZ$14:$CZ$25,Data!$CU$14:$CU$25,"Standard Trade")+SUMIFS(Data!$CZ$14:$CZ$25,Data!$CU$14:$CU$25,"Standard Trade (Spot)"))/1000000</f>
        <v>111750.127221</v>
      </c>
      <c r="C57" s="275">
        <f>(SUMIFS(Data!$CZ$1:$CZ$12,Data!$CU$1:$CU$12,"Standard Trade")+SUMIFS(Data!$CZ$1:$CZ$12,Data!$CU$1:$CU$12,"Standard Trade (Spot)"))/1000000</f>
        <v>1033122.487407</v>
      </c>
      <c r="D57" s="275">
        <f>(SUMIFS(Data!$CZ$27:$CZ$38,Data!$CU$27:$CU$38,"Standard Trade")+SUMIFS(Data!$CZ$27:$CZ$38,Data!$CU$27:$CU$38,"Standard Trade (Spot)"))/1000000</f>
        <v>1273007.6052550001</v>
      </c>
      <c r="E57" s="186">
        <f>C57-D57</f>
        <v>-239885.11784800002</v>
      </c>
      <c r="F57" s="368">
        <v>1358203</v>
      </c>
      <c r="G57" s="348">
        <v>1367130</v>
      </c>
      <c r="H57" s="348">
        <v>1118355</v>
      </c>
      <c r="I57" s="293">
        <v>1072127</v>
      </c>
      <c r="J57" s="27"/>
      <c r="L57" s="169"/>
    </row>
    <row r="58" spans="1:12" ht="12.75" customHeight="1" x14ac:dyDescent="0.25">
      <c r="A58" s="292" t="s">
        <v>141</v>
      </c>
      <c r="B58" s="275">
        <f>(SUMIFS(Data!$DC$14:$DC$25,Data!$CU$14:$CU$25,"Standard Trade")+SUMIFS(Data!$DC$14:$DC$25,Data!$CU$14:$CU$25,"Standard Trade (Spot)"))/1000000</f>
        <v>147266.938792</v>
      </c>
      <c r="C58" s="275">
        <f>(SUMIFS(Data!$DC$1:$DC$12,Data!$CU$1:$CU$12,"Standard Trade")+SUMIFS(Data!$DC$1:$DC$12,Data!$CU$1:$CU$12,"Standard Trade (Spot)"))/1000000</f>
        <v>1187254.9359949999</v>
      </c>
      <c r="D58" s="275">
        <f>(SUMIFS(Data!$DC$27:$DC$38,Data!$CU$27:$CU$38,"Standard Trade")+SUMIFS(Data!$DC$27:$DC$38,Data!$CU$27:$CU$38,"Standard Trade (Spot)"))/1000000</f>
        <v>1339744.3892880001</v>
      </c>
      <c r="E58" s="186">
        <f>C58-D58</f>
        <v>-152489.45329300012</v>
      </c>
      <c r="F58" s="368">
        <v>1406571</v>
      </c>
      <c r="G58" s="348">
        <v>1389324</v>
      </c>
      <c r="H58" s="348">
        <v>1183484</v>
      </c>
      <c r="I58" s="293">
        <v>1016544</v>
      </c>
      <c r="J58" s="27"/>
      <c r="L58" s="169"/>
    </row>
    <row r="59" spans="1:12" ht="12.75" customHeight="1" thickBot="1" x14ac:dyDescent="0.3">
      <c r="A59" s="298" t="s">
        <v>12</v>
      </c>
      <c r="B59" s="285">
        <f>B57-B58</f>
        <v>-35516.811570999998</v>
      </c>
      <c r="C59" s="285">
        <f t="shared" ref="C59" si="5">C57-C58</f>
        <v>-154132.44858799991</v>
      </c>
      <c r="D59" s="285">
        <f>D57-D58</f>
        <v>-66736.784033000004</v>
      </c>
      <c r="E59" s="285">
        <f>E57-E58</f>
        <v>-87395.664554999908</v>
      </c>
      <c r="F59" s="369">
        <v>-48367</v>
      </c>
      <c r="G59" s="350">
        <v>-22194</v>
      </c>
      <c r="H59" s="350">
        <v>-65129</v>
      </c>
      <c r="I59" s="350">
        <v>55583</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Nov 2021</v>
      </c>
      <c r="B61" s="218"/>
      <c r="C61" s="218"/>
      <c r="D61" s="218"/>
      <c r="E61" s="235"/>
      <c r="F61" s="124"/>
      <c r="G61" s="124"/>
      <c r="H61" s="124"/>
      <c r="I61" s="218"/>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7"/>
      <c r="B64" s="268" t="s">
        <v>1</v>
      </c>
      <c r="C64" s="268" t="s">
        <v>157</v>
      </c>
      <c r="D64" s="268" t="s">
        <v>157</v>
      </c>
      <c r="E64" s="288" t="s">
        <v>13</v>
      </c>
      <c r="F64" s="297"/>
      <c r="G64" s="280"/>
      <c r="H64" s="287"/>
      <c r="I64" s="287"/>
    </row>
    <row r="65" spans="1:9" ht="13.8" x14ac:dyDescent="0.25">
      <c r="A65" s="287"/>
      <c r="B65" s="268" t="s">
        <v>3</v>
      </c>
      <c r="C65" s="268" t="s">
        <v>4</v>
      </c>
      <c r="D65" s="268" t="s">
        <v>4</v>
      </c>
      <c r="E65" s="288" t="s">
        <v>9</v>
      </c>
      <c r="F65" s="297"/>
      <c r="G65" s="280"/>
      <c r="H65" s="287"/>
      <c r="I65" s="287"/>
    </row>
    <row r="66" spans="1:9" ht="14.4" thickBot="1" x14ac:dyDescent="0.3">
      <c r="A66" s="289"/>
      <c r="B66" s="270" t="str">
        <f>TEXT($H$3,"MMM")&amp;" "&amp;TEXT($H$3,"YYYY")</f>
        <v>Nov 2021</v>
      </c>
      <c r="C66" s="270" t="str">
        <f>TEXT($H$3,"YYYY")</f>
        <v>2021</v>
      </c>
      <c r="D66" s="271">
        <f>TEXT($H$3,"YYYY")-1</f>
        <v>2020</v>
      </c>
      <c r="E66" s="272" t="s">
        <v>6</v>
      </c>
      <c r="F66" s="272">
        <f>$F$15</f>
        <v>2020</v>
      </c>
      <c r="G66" s="282">
        <f>$G$15</f>
        <v>2019</v>
      </c>
      <c r="H66" s="282">
        <f>$H$15</f>
        <v>2018</v>
      </c>
      <c r="I66" s="282">
        <f>$I$15</f>
        <v>2017</v>
      </c>
    </row>
    <row r="67" spans="1:9" ht="13.8" x14ac:dyDescent="0.25">
      <c r="A67" s="276" t="s">
        <v>14</v>
      </c>
      <c r="B67" s="236"/>
      <c r="C67" s="236"/>
      <c r="D67" s="236"/>
      <c r="E67" s="236"/>
      <c r="F67" s="236"/>
      <c r="G67" s="236"/>
      <c r="H67" s="236"/>
      <c r="I67" s="236"/>
    </row>
    <row r="68" spans="1:9" ht="13.8" x14ac:dyDescent="0.25">
      <c r="A68" s="236" t="s">
        <v>107</v>
      </c>
      <c r="B68" s="126">
        <f>Data!BR20</f>
        <v>1079</v>
      </c>
      <c r="C68" s="237">
        <f>Data!BR32</f>
        <v>11599</v>
      </c>
      <c r="D68" s="237">
        <f>Data!BR38</f>
        <v>14679</v>
      </c>
      <c r="E68" s="274">
        <f t="shared" ref="E68:E71" si="6">IFERROR(IF(OR(AND(D68="",C68=""),AND(D68=0,C68=0)),"",
IF(OR(D68="",D68=0),1,
IF(OR(D68&lt;&gt;"",D68&lt;&gt;0),(C68-D68)/ABS(D68)))),-1)</f>
        <v>-0.20982355746304243</v>
      </c>
      <c r="F68" s="365">
        <v>14968</v>
      </c>
      <c r="G68" s="345">
        <v>12780</v>
      </c>
      <c r="H68" s="345">
        <v>12477</v>
      </c>
      <c r="I68" s="345">
        <v>12791</v>
      </c>
    </row>
    <row r="69" spans="1:9" ht="13.8" x14ac:dyDescent="0.25">
      <c r="A69" s="236" t="s">
        <v>130</v>
      </c>
      <c r="B69" s="126">
        <f>Data!BQ20</f>
        <v>785182</v>
      </c>
      <c r="C69" s="237">
        <f>Data!BQ32</f>
        <v>11904551</v>
      </c>
      <c r="D69" s="237">
        <f>Data!BQ38</f>
        <v>12420662</v>
      </c>
      <c r="E69" s="274">
        <f t="shared" si="6"/>
        <v>-4.1552616116596684E-2</v>
      </c>
      <c r="F69" s="365">
        <v>12515509</v>
      </c>
      <c r="G69" s="345">
        <v>10461871</v>
      </c>
      <c r="H69" s="345">
        <v>11788350</v>
      </c>
      <c r="I69" s="345">
        <v>11946344</v>
      </c>
    </row>
    <row r="70" spans="1:9" ht="13.8" x14ac:dyDescent="0.25">
      <c r="A70" s="236" t="s">
        <v>109</v>
      </c>
      <c r="B70" s="126">
        <f>Data!BP20/1000000</f>
        <v>72101.2401961</v>
      </c>
      <c r="C70" s="237">
        <f>Data!BP32/1000000</f>
        <v>1194051.5032400901</v>
      </c>
      <c r="D70" s="237">
        <f>Data!BP38/1000000</f>
        <v>1257837.7940026899</v>
      </c>
      <c r="E70" s="274">
        <f t="shared" si="6"/>
        <v>-5.0711062321970098E-2</v>
      </c>
      <c r="F70" s="365">
        <v>1264935</v>
      </c>
      <c r="G70" s="345">
        <v>1158376</v>
      </c>
      <c r="H70" s="345">
        <v>1282927</v>
      </c>
      <c r="I70" s="345">
        <v>1329270</v>
      </c>
    </row>
    <row r="71" spans="1:9" ht="13.8" x14ac:dyDescent="0.25">
      <c r="A71" s="236" t="s">
        <v>129</v>
      </c>
      <c r="B71" s="126">
        <f>Data!BP26</f>
        <v>1038517</v>
      </c>
      <c r="C71" s="237">
        <f>B71</f>
        <v>1038517</v>
      </c>
      <c r="D71" s="237">
        <f>Data!BP44</f>
        <v>994209</v>
      </c>
      <c r="E71" s="274">
        <f t="shared" si="6"/>
        <v>4.4566082181915476E-2</v>
      </c>
      <c r="F71" s="365">
        <v>969112</v>
      </c>
      <c r="G71" s="345">
        <v>947574</v>
      </c>
      <c r="H71" s="345">
        <v>829599</v>
      </c>
      <c r="I71" s="345">
        <v>1021723</v>
      </c>
    </row>
    <row r="72" spans="1:9" ht="13.8" x14ac:dyDescent="0.25">
      <c r="A72" s="236"/>
      <c r="B72" s="126"/>
      <c r="C72" s="237"/>
      <c r="D72" s="237"/>
      <c r="E72" s="236"/>
      <c r="F72" s="365"/>
      <c r="G72" s="345"/>
      <c r="H72" s="345"/>
      <c r="I72" s="345"/>
    </row>
    <row r="73" spans="1:9" ht="13.8" x14ac:dyDescent="0.25">
      <c r="A73" s="276" t="s">
        <v>15</v>
      </c>
      <c r="B73" s="126"/>
      <c r="C73" s="237"/>
      <c r="D73" s="237"/>
      <c r="E73" s="236"/>
      <c r="F73" s="365"/>
      <c r="G73" s="345"/>
      <c r="H73" s="345"/>
      <c r="I73" s="345"/>
    </row>
    <row r="74" spans="1:9" ht="13.8" x14ac:dyDescent="0.25">
      <c r="A74" s="236" t="s">
        <v>107</v>
      </c>
      <c r="B74" s="126">
        <f>Data!BR23</f>
        <v>145</v>
      </c>
      <c r="C74" s="126">
        <f>Data!BR35</f>
        <v>1132</v>
      </c>
      <c r="D74" s="126">
        <f>Data!BR41</f>
        <v>1680</v>
      </c>
      <c r="E74" s="274">
        <f t="shared" ref="E74:E77" si="7">IFERROR(IF(OR(AND(D74="",C74=""),AND(D74=0,C74=0)),"",
IF(OR(D74="",D74=0),1,
IF(OR(D74&lt;&gt;"",D74&lt;&gt;0),(C74-D74)/ABS(D74)))),-1)</f>
        <v>-0.3261904761904762</v>
      </c>
      <c r="F74" s="126">
        <v>1774</v>
      </c>
      <c r="G74" s="126">
        <v>1550</v>
      </c>
      <c r="H74" s="126">
        <v>949</v>
      </c>
      <c r="I74" s="126">
        <v>809</v>
      </c>
    </row>
    <row r="75" spans="1:9" ht="13.8" x14ac:dyDescent="0.25">
      <c r="A75" s="236" t="s">
        <v>130</v>
      </c>
      <c r="B75" s="126">
        <f>Data!BQ23</f>
        <v>88761</v>
      </c>
      <c r="C75" s="126">
        <f>Data!BQ35</f>
        <v>602324</v>
      </c>
      <c r="D75" s="126">
        <f>Data!BQ41</f>
        <v>727009</v>
      </c>
      <c r="E75" s="274">
        <f t="shared" si="7"/>
        <v>-0.17150406666217338</v>
      </c>
      <c r="F75" s="126">
        <v>803665</v>
      </c>
      <c r="G75" s="126">
        <v>961911</v>
      </c>
      <c r="H75" s="126">
        <v>428713</v>
      </c>
      <c r="I75" s="126">
        <v>307322</v>
      </c>
    </row>
    <row r="76" spans="1:9" ht="13.8" x14ac:dyDescent="0.25">
      <c r="A76" s="236" t="s">
        <v>173</v>
      </c>
      <c r="B76" s="126">
        <f>Data!BP23/1000000</f>
        <v>116.04306699999999</v>
      </c>
      <c r="C76" s="126">
        <f>Data!BP35/1000000</f>
        <v>990.92790833000004</v>
      </c>
      <c r="D76" s="126">
        <f>Data!BP41/1000000</f>
        <v>1426.8580679500001</v>
      </c>
      <c r="E76" s="274">
        <f t="shared" si="7"/>
        <v>-0.30551753493345768</v>
      </c>
      <c r="F76" s="126">
        <v>1574</v>
      </c>
      <c r="G76" s="126">
        <v>93866</v>
      </c>
      <c r="H76" s="126">
        <v>42643</v>
      </c>
      <c r="I76" s="126">
        <v>29060</v>
      </c>
    </row>
    <row r="77" spans="1:9" ht="14.4" thickBot="1" x14ac:dyDescent="0.3">
      <c r="A77" s="277" t="s">
        <v>129</v>
      </c>
      <c r="B77" s="127">
        <f>Data!BP29</f>
        <v>124484</v>
      </c>
      <c r="C77" s="127">
        <f>B77</f>
        <v>124484</v>
      </c>
      <c r="D77" s="127">
        <f>Data!BP47</f>
        <v>122370</v>
      </c>
      <c r="E77" s="279">
        <f t="shared" si="7"/>
        <v>1.7275476015363243E-2</v>
      </c>
      <c r="F77" s="127">
        <v>155447</v>
      </c>
      <c r="G77" s="127">
        <v>275198</v>
      </c>
      <c r="H77" s="127">
        <v>140000</v>
      </c>
      <c r="I77" s="127">
        <v>97761</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7"/>
      <c r="B82" s="268" t="s">
        <v>1</v>
      </c>
      <c r="C82" s="268" t="s">
        <v>157</v>
      </c>
      <c r="D82" s="268" t="s">
        <v>157</v>
      </c>
      <c r="E82" s="288" t="s">
        <v>13</v>
      </c>
      <c r="F82" s="297"/>
      <c r="G82" s="280"/>
      <c r="H82" s="287"/>
      <c r="I82" s="287"/>
    </row>
    <row r="83" spans="1:9" ht="13.8" x14ac:dyDescent="0.25">
      <c r="A83" s="287"/>
      <c r="B83" s="268" t="s">
        <v>3</v>
      </c>
      <c r="C83" s="268" t="s">
        <v>4</v>
      </c>
      <c r="D83" s="268" t="s">
        <v>4</v>
      </c>
      <c r="E83" s="288" t="s">
        <v>9</v>
      </c>
      <c r="F83" s="297"/>
      <c r="G83" s="280"/>
      <c r="H83" s="287"/>
      <c r="I83" s="287"/>
    </row>
    <row r="84" spans="1:9" ht="14.4" thickBot="1" x14ac:dyDescent="0.3">
      <c r="A84" s="289"/>
      <c r="B84" s="270" t="str">
        <f>TEXT($H$3,"MMM")&amp;" "&amp;TEXT($H$3,"YYYY")</f>
        <v>Nov 2021</v>
      </c>
      <c r="C84" s="270" t="str">
        <f>TEXT($H$3,"YYYY")</f>
        <v>2021</v>
      </c>
      <c r="D84" s="270">
        <f>TEXT($H$3,"YYYY")-1</f>
        <v>2020</v>
      </c>
      <c r="E84" s="272" t="s">
        <v>6</v>
      </c>
      <c r="F84" s="272">
        <f>TEXT($H$3,"YYYY")-1</f>
        <v>2020</v>
      </c>
      <c r="G84" s="282">
        <f>TEXT($H$3,"YYYY")-2</f>
        <v>2019</v>
      </c>
      <c r="H84" s="282">
        <f>TEXT($H$3,"YYYY")-3</f>
        <v>2018</v>
      </c>
      <c r="I84" s="282">
        <f>TEXT($H$3,"YYYY")-4</f>
        <v>2017</v>
      </c>
    </row>
    <row r="85" spans="1:9" ht="13.8" x14ac:dyDescent="0.25">
      <c r="A85" s="276" t="s">
        <v>14</v>
      </c>
      <c r="B85" s="301"/>
      <c r="C85" s="301"/>
      <c r="D85" s="301"/>
      <c r="E85" s="299"/>
      <c r="F85" s="299"/>
      <c r="G85" s="302"/>
      <c r="H85" s="302"/>
      <c r="I85" s="302"/>
    </row>
    <row r="86" spans="1:9" ht="13.8" x14ac:dyDescent="0.25">
      <c r="A86" s="236" t="s">
        <v>107</v>
      </c>
      <c r="B86" s="237">
        <f>SUMIFS(Data!$AC:$AC,Data!$AE:$AE,"1")</f>
        <v>58175</v>
      </c>
      <c r="C86" s="237">
        <f>Data!BR76</f>
        <v>429226</v>
      </c>
      <c r="D86" s="237">
        <f>Data!BR82</f>
        <v>448426</v>
      </c>
      <c r="E86" s="274">
        <f>IFERROR(IF(OR(AND(D86="",C86=""),AND(D86=0,C86=0)),"",
IF(OR(D86="",D86=0),1,
IF(OR(D86&lt;&gt;"",D86&lt;&gt;0),(C86-D86)/ABS(D86)))),-1)</f>
        <v>-4.2816429020618788E-2</v>
      </c>
      <c r="F86" s="365">
        <v>479225</v>
      </c>
      <c r="G86" s="345">
        <v>436351</v>
      </c>
      <c r="H86" s="345">
        <v>401483</v>
      </c>
      <c r="I86" s="345">
        <v>345698</v>
      </c>
    </row>
    <row r="87" spans="1:9" ht="13.8" x14ac:dyDescent="0.25">
      <c r="A87" s="236" t="s">
        <v>128</v>
      </c>
      <c r="B87" s="237">
        <f>SUMIFS(Data!$AB:$AB,Data!$AE:$AE,"1")/1000</f>
        <v>437.36900000000003</v>
      </c>
      <c r="C87" s="237">
        <f>Data!BQ76</f>
        <v>3095245</v>
      </c>
      <c r="D87" s="237">
        <f>Data!BQ82</f>
        <v>2994115</v>
      </c>
      <c r="E87" s="274">
        <f t="shared" ref="E87:E89" si="8">IFERROR(IF(OR(AND(D87="",C87=""),AND(D87=0,C87=0)),"",
IF(OR(D87="",D87=0),1,
IF(OR(D87&lt;&gt;"",D87&lt;&gt;0),(C87-D87)/ABS(D87)))),-1)</f>
        <v>3.3776257758970515E-2</v>
      </c>
      <c r="F87" s="365">
        <v>3219382</v>
      </c>
      <c r="G87" s="345">
        <v>3206466</v>
      </c>
      <c r="H87" s="345">
        <v>3080836</v>
      </c>
      <c r="I87" s="345">
        <v>2718</v>
      </c>
    </row>
    <row r="88" spans="1:9" ht="13.8" x14ac:dyDescent="0.25">
      <c r="A88" s="236" t="s">
        <v>109</v>
      </c>
      <c r="B88" s="237">
        <f>SUMIFS(Data!$AA:$AA,Data!$AE:$AE,"1")/1000000</f>
        <v>150952.302000895</v>
      </c>
      <c r="C88" s="237">
        <f>Data!BP76/1000000</f>
        <v>1026681.3477731925</v>
      </c>
      <c r="D88" s="237">
        <f>Data!BP82/1000000</f>
        <v>843004.44190980087</v>
      </c>
      <c r="E88" s="274">
        <f t="shared" si="8"/>
        <v>0.21788367502225392</v>
      </c>
      <c r="F88" s="365">
        <v>912482</v>
      </c>
      <c r="G88" s="345">
        <v>805011</v>
      </c>
      <c r="H88" s="345">
        <v>674379</v>
      </c>
      <c r="I88" s="345">
        <v>566037</v>
      </c>
    </row>
    <row r="89" spans="1:9" ht="13.8" x14ac:dyDescent="0.25">
      <c r="A89" s="236" t="s">
        <v>129</v>
      </c>
      <c r="B89" s="237">
        <f>SUMIFS(Data!$AK:$AK,Data!$AL:$AL,"1")</f>
        <v>147227</v>
      </c>
      <c r="C89" s="237">
        <f>B89</f>
        <v>147227</v>
      </c>
      <c r="D89" s="237">
        <f>Data!BP88</f>
        <v>136173</v>
      </c>
      <c r="E89" s="274">
        <f t="shared" si="8"/>
        <v>8.1176150925660745E-2</v>
      </c>
      <c r="F89" s="365">
        <v>125413</v>
      </c>
      <c r="G89" s="345">
        <v>114681</v>
      </c>
      <c r="H89" s="345">
        <v>111034</v>
      </c>
      <c r="I89" s="345">
        <v>117783</v>
      </c>
    </row>
    <row r="90" spans="1:9" ht="13.8" x14ac:dyDescent="0.25">
      <c r="A90" s="236"/>
      <c r="B90" s="237"/>
      <c r="C90" s="237"/>
      <c r="D90" s="237"/>
      <c r="E90" s="236"/>
      <c r="F90" s="365"/>
      <c r="G90" s="345"/>
      <c r="H90" s="345"/>
      <c r="I90" s="345"/>
    </row>
    <row r="91" spans="1:9" ht="13.8" x14ac:dyDescent="0.25">
      <c r="A91" s="276" t="s">
        <v>15</v>
      </c>
      <c r="B91" s="237"/>
      <c r="C91" s="237"/>
      <c r="D91" s="237"/>
      <c r="E91" s="236"/>
      <c r="F91" s="365"/>
      <c r="G91" s="345"/>
      <c r="H91" s="345"/>
      <c r="I91" s="345"/>
    </row>
    <row r="92" spans="1:9" ht="13.8" x14ac:dyDescent="0.25">
      <c r="A92" s="236" t="s">
        <v>107</v>
      </c>
      <c r="B92" s="237">
        <f>SUMIFS(Data!$AC:$AC,Data!$AE:$AE,"0")</f>
        <v>1644</v>
      </c>
      <c r="C92" s="237">
        <f>Data!BR79</f>
        <v>19440</v>
      </c>
      <c r="D92" s="237">
        <f>Data!BR85</f>
        <v>20184</v>
      </c>
      <c r="E92" s="274">
        <f>IFERROR(IF(OR(AND(D92="",C92=""),AND(D92=0,C92=0)),"",
IF(OR(D92="",D92=0),1,
IF(OR(D92&lt;&gt;"",D92&lt;&gt;0),(C92-D92)/ABS(D92)))),-1)</f>
        <v>-3.6860879904875146E-2</v>
      </c>
      <c r="F92" s="365">
        <v>21151</v>
      </c>
      <c r="G92" s="345">
        <v>27189</v>
      </c>
      <c r="H92" s="345">
        <v>34033</v>
      </c>
      <c r="I92" s="345">
        <v>30024</v>
      </c>
    </row>
    <row r="93" spans="1:9" ht="13.8" x14ac:dyDescent="0.25">
      <c r="A93" s="236" t="s">
        <v>128</v>
      </c>
      <c r="B93" s="237">
        <f>SUMIFS(Data!$AB:$AB,Data!$AE:$AE,"0")/1000</f>
        <v>12.792</v>
      </c>
      <c r="C93" s="237">
        <f>Data!BQ79</f>
        <v>234476</v>
      </c>
      <c r="D93" s="237">
        <f>Data!BQ85</f>
        <v>264013</v>
      </c>
      <c r="E93" s="274">
        <f t="shared" ref="E93:E94" si="9">IFERROR(IF(OR(AND(D93="",C93=""),AND(D93=0,C93=0)),"",
IF(OR(D93="",D93=0),1,
IF(OR(D93&lt;&gt;"",D93&lt;&gt;0),(C93-D93)/ABS(D93)))),-1)</f>
        <v>-0.11187706665959631</v>
      </c>
      <c r="F93" s="365">
        <v>276216</v>
      </c>
      <c r="G93" s="345">
        <v>304220</v>
      </c>
      <c r="H93" s="345">
        <v>351110</v>
      </c>
      <c r="I93" s="345">
        <v>291</v>
      </c>
    </row>
    <row r="94" spans="1:9" ht="13.8" x14ac:dyDescent="0.25">
      <c r="A94" s="236" t="s">
        <v>109</v>
      </c>
      <c r="B94" s="237">
        <f>SUMIFS(Data!$AA:$AA,Data!$AE:$AE,"0")/1000000</f>
        <v>128.28949176</v>
      </c>
      <c r="C94" s="237">
        <f>Data!BP79/1000000</f>
        <v>4154.6228148499995</v>
      </c>
      <c r="D94" s="237">
        <f>Data!BP85/1000000</f>
        <v>2723.3582454299999</v>
      </c>
      <c r="E94" s="274">
        <f t="shared" si="9"/>
        <v>0.52555133788283981</v>
      </c>
      <c r="F94" s="365">
        <v>2849</v>
      </c>
      <c r="G94" s="345">
        <v>4720</v>
      </c>
      <c r="H94" s="345">
        <v>4094</v>
      </c>
      <c r="I94" s="345">
        <v>3233</v>
      </c>
    </row>
    <row r="95" spans="1:9" ht="13.8" x14ac:dyDescent="0.25">
      <c r="A95" s="236" t="s">
        <v>129</v>
      </c>
      <c r="B95" s="237">
        <f>SUMIFS(Data!$AK:$AK,Data!$AL:$AL,"0")</f>
        <v>20725</v>
      </c>
      <c r="C95" s="237">
        <f>B95</f>
        <v>20725</v>
      </c>
      <c r="D95" s="237">
        <f>Data!BP91</f>
        <v>43011</v>
      </c>
      <c r="E95" s="274">
        <f>IFERROR(IF(OR(AND(D95="",C95=""),AND(D95=0,C95=0)),"",
IF(OR(D95="",D95=0),1,
IF(OR(D95&lt;&gt;"",D95&lt;&gt;0),(C95-D95)/ABS(D95)))),-1)</f>
        <v>-0.51814652065750622</v>
      </c>
      <c r="F95" s="365">
        <v>48256</v>
      </c>
      <c r="G95" s="345">
        <v>43126</v>
      </c>
      <c r="H95" s="345">
        <v>71176</v>
      </c>
      <c r="I95" s="345">
        <v>50578</v>
      </c>
    </row>
    <row r="96" spans="1:9" ht="12.75" customHeight="1" x14ac:dyDescent="0.25">
      <c r="B96" s="3"/>
      <c r="F96" s="379" t="s">
        <v>177</v>
      </c>
      <c r="G96" s="379"/>
      <c r="H96" s="379"/>
      <c r="I96" s="124"/>
    </row>
    <row r="97" spans="1:10" ht="12.75" customHeight="1" x14ac:dyDescent="0.25">
      <c r="B97" s="3"/>
      <c r="F97" s="379"/>
      <c r="G97" s="379"/>
      <c r="H97" s="379"/>
      <c r="I97" s="124"/>
      <c r="J97" s="155"/>
    </row>
    <row r="98" spans="1:10" ht="13.8" thickBot="1" x14ac:dyDescent="0.3">
      <c r="A98" s="121" t="s">
        <v>110</v>
      </c>
      <c r="B98" s="116"/>
      <c r="C98" s="115"/>
      <c r="D98" s="116"/>
      <c r="E98" s="116"/>
      <c r="F98" s="115"/>
      <c r="G98" s="116"/>
      <c r="H98" s="115"/>
      <c r="I98" s="115"/>
      <c r="J98" s="155"/>
    </row>
    <row r="99" spans="1:10" ht="13.8" x14ac:dyDescent="0.25">
      <c r="A99" s="297"/>
      <c r="B99" s="192" t="s">
        <v>150</v>
      </c>
      <c r="C99" s="269"/>
      <c r="D99" s="187"/>
      <c r="E99" s="269"/>
      <c r="F99" s="269"/>
      <c r="G99" s="269" t="s">
        <v>151</v>
      </c>
      <c r="H99" s="269"/>
      <c r="I99" s="269"/>
      <c r="J99" s="155"/>
    </row>
    <row r="100" spans="1:10" ht="14.4" thickBot="1" x14ac:dyDescent="0.3">
      <c r="A100" s="282"/>
      <c r="B100" s="270" t="str">
        <f>TEXT($H$3,"MMM")&amp;" "&amp;TEXT($H$3,"YYYY")</f>
        <v>Nov 2021</v>
      </c>
      <c r="C100" s="270" t="str">
        <f>TEXT(DATE(2000,TEXT(H3,"M")-1,1),"mmm")&amp; " "&amp; TEXT(H3,"YYYY")</f>
        <v>Oct 2021</v>
      </c>
      <c r="D100" s="272" t="s">
        <v>111</v>
      </c>
      <c r="E100" s="270"/>
      <c r="F100" s="270"/>
      <c r="G100" s="270" t="str">
        <f>TEXT($H$3,"MMM")&amp;" "&amp;TEXT($H$3,"YYYY")</f>
        <v>Nov 2021</v>
      </c>
      <c r="H100" s="270" t="str">
        <f>TEXT($H$3,"MMM")&amp;" "&amp;TEXT($H$3,"YYYY")-1</f>
        <v>Nov 2020</v>
      </c>
      <c r="I100" s="272" t="s">
        <v>111</v>
      </c>
      <c r="J100" s="155"/>
    </row>
    <row r="101" spans="1:10" ht="13.8" x14ac:dyDescent="0.25">
      <c r="A101" s="236" t="s">
        <v>112</v>
      </c>
      <c r="B101" s="306">
        <f>VLOOKUP("ABuy",Data!$J$1:$M$5,4,FALSE)/1000000</f>
        <v>210156.37779833531</v>
      </c>
      <c r="C101" s="306">
        <f>VLOOKUP("ABuy",Data!$J$7:$M$11,4,FALSE)/1000000</f>
        <v>200147.88720750576</v>
      </c>
      <c r="D101" s="177">
        <f>((B101/C101)-1)</f>
        <v>5.0005477102304408E-2</v>
      </c>
      <c r="E101" s="306"/>
      <c r="F101" s="306"/>
      <c r="G101" s="306">
        <f>VLOOKUP("Abuy",Data!$J$13:$M$17,4,FALSE)/1000000</f>
        <v>183129.61956135</v>
      </c>
      <c r="H101" s="306">
        <f>VLOOKUP("Abuy",Data!$J$19:$M$23,4,FALSE)/1000000</f>
        <v>180722.67305382498</v>
      </c>
      <c r="I101" s="190">
        <f>((G101/H101)-1)</f>
        <v>1.3318453445009482E-2</v>
      </c>
      <c r="J101" s="155"/>
    </row>
    <row r="102" spans="1:10" ht="13.8" x14ac:dyDescent="0.25">
      <c r="A102" s="236" t="s">
        <v>113</v>
      </c>
      <c r="B102" s="306">
        <f>VLOOKUP("ASell",Data!$J$1:$M$5,4,FALSE)/1000000</f>
        <v>210897.47303114235</v>
      </c>
      <c r="C102" s="306">
        <f>VLOOKUP("Asell",Data!$J$7:$M$11,4,FALSE)/1000000</f>
        <v>192967.36229438658</v>
      </c>
      <c r="D102" s="190">
        <f t="shared" ref="D102:D104" si="10">((B102/C102)-1)</f>
        <v>9.2917841253392863E-2</v>
      </c>
      <c r="E102" s="306"/>
      <c r="F102" s="306"/>
      <c r="G102" s="306">
        <f>VLOOKUP("Asell",Data!$J$13:$M$17,4,FALSE)/1000000</f>
        <v>183434.16531088998</v>
      </c>
      <c r="H102" s="306">
        <f>VLOOKUP("Asell",Data!$J$19:$M$23,4,FALSE)/1000000</f>
        <v>171122.51601143001</v>
      </c>
      <c r="I102" s="190">
        <f t="shared" ref="I102:I104" si="11">((G102/H102)-1)</f>
        <v>7.1946401831992857E-2</v>
      </c>
      <c r="J102" s="155"/>
    </row>
    <row r="103" spans="1:10" ht="13.8" x14ac:dyDescent="0.25">
      <c r="A103" s="236" t="s">
        <v>114</v>
      </c>
      <c r="B103" s="306">
        <f>VLOOKUP("PBuy",Data!$J$1:$M$5,4,FALSE)/1000000</f>
        <v>241185.09559605116</v>
      </c>
      <c r="C103" s="306">
        <f>VLOOKUP("Pbuy",Data!$J$7:$M$11,4,FALSE)/1000000</f>
        <v>227712.04547254476</v>
      </c>
      <c r="D103" s="190">
        <f t="shared" si="10"/>
        <v>5.9167050629874707E-2</v>
      </c>
      <c r="E103" s="306"/>
      <c r="F103" s="306"/>
      <c r="G103" s="306">
        <f>VLOOKUP("Pbuy",Data!$J$13:$M$17,4,FALSE)/1000000</f>
        <v>226544.37463920499</v>
      </c>
      <c r="H103" s="306">
        <f>VLOOKUP("Pbuy",Data!$J$19:$M$23,4,FALSE)/1000000</f>
        <v>205338.292274145</v>
      </c>
      <c r="I103" s="190">
        <f t="shared" si="11"/>
        <v>0.103273881019464</v>
      </c>
      <c r="J103" s="155"/>
    </row>
    <row r="104" spans="1:10" ht="13.8" x14ac:dyDescent="0.25">
      <c r="A104" s="236" t="s">
        <v>115</v>
      </c>
      <c r="B104" s="306">
        <f>VLOOKUP("PSell",Data!$J$1:$M$5,4,FALSE)/1000000</f>
        <v>240444.00036324415</v>
      </c>
      <c r="C104" s="306">
        <f>VLOOKUP("Psell",Data!$J$7:$M$11,4,FALSE)/1000000</f>
        <v>234892.57038566397</v>
      </c>
      <c r="D104" s="190">
        <f t="shared" si="10"/>
        <v>2.3633910465816088E-2</v>
      </c>
      <c r="E104" s="306"/>
      <c r="F104" s="306"/>
      <c r="G104" s="306">
        <f>VLOOKUP("Psell",Data!$J$13:$M$17,4,FALSE)/1000000</f>
        <v>226239.82888966499</v>
      </c>
      <c r="H104" s="306">
        <f>VLOOKUP("Psell",Data!$J$19:$M$23,4,FALSE)/1000000</f>
        <v>214938.44931654001</v>
      </c>
      <c r="I104" s="190">
        <f t="shared" si="11"/>
        <v>5.2579608762699515E-2</v>
      </c>
      <c r="J104" s="155"/>
    </row>
    <row r="105" spans="1:10" ht="13.8" x14ac:dyDescent="0.25">
      <c r="A105" s="236"/>
      <c r="B105" s="237"/>
      <c r="C105" s="237"/>
      <c r="D105" s="236"/>
      <c r="E105" s="237"/>
      <c r="F105" s="237"/>
      <c r="G105" s="236"/>
      <c r="H105" s="236"/>
      <c r="I105" s="236"/>
      <c r="J105" s="155"/>
    </row>
    <row r="106" spans="1:10" ht="14.4" thickBot="1" x14ac:dyDescent="0.3">
      <c r="A106" s="266" t="s">
        <v>116</v>
      </c>
      <c r="B106" s="267"/>
      <c r="C106" s="267"/>
      <c r="D106" s="267"/>
      <c r="E106" s="267"/>
      <c r="F106" s="267"/>
      <c r="G106" s="267"/>
      <c r="H106" s="266"/>
      <c r="I106" s="266"/>
      <c r="J106" s="155"/>
    </row>
    <row r="107" spans="1:10" ht="14.4" thickBot="1" x14ac:dyDescent="0.3">
      <c r="A107" s="282"/>
      <c r="B107" s="272" t="s">
        <v>117</v>
      </c>
      <c r="C107" s="272" t="s">
        <v>4</v>
      </c>
      <c r="D107" s="384"/>
      <c r="E107" s="384"/>
      <c r="F107" s="272"/>
      <c r="G107" s="380" t="s">
        <v>118</v>
      </c>
      <c r="H107" s="380"/>
      <c r="I107" s="272" t="s">
        <v>28</v>
      </c>
      <c r="J107" s="155"/>
    </row>
    <row r="108" spans="1:10" ht="13.8" x14ac:dyDescent="0.25">
      <c r="A108" s="276"/>
      <c r="B108" s="299"/>
      <c r="C108" s="299"/>
      <c r="D108" s="299"/>
      <c r="E108" s="299"/>
      <c r="F108" s="299"/>
      <c r="G108" s="299"/>
      <c r="H108" s="236"/>
      <c r="I108" s="299"/>
      <c r="J108" s="155"/>
    </row>
    <row r="109" spans="1:10" ht="13.8" x14ac:dyDescent="0.25">
      <c r="A109" s="236" t="s">
        <v>107</v>
      </c>
      <c r="B109" s="366">
        <v>920270</v>
      </c>
      <c r="C109" s="353">
        <v>44425</v>
      </c>
      <c r="D109" s="383"/>
      <c r="E109" s="383"/>
      <c r="F109" s="318"/>
      <c r="G109" s="383">
        <v>13110584</v>
      </c>
      <c r="H109" s="383"/>
      <c r="I109" s="189" t="s">
        <v>725</v>
      </c>
    </row>
    <row r="110" spans="1:10" ht="13.8" x14ac:dyDescent="0.25">
      <c r="A110" s="236" t="s">
        <v>490</v>
      </c>
      <c r="B110" s="366">
        <v>1762606</v>
      </c>
      <c r="C110" s="353">
        <v>43439</v>
      </c>
      <c r="D110" s="383"/>
      <c r="E110" s="383"/>
      <c r="F110" s="318"/>
      <c r="G110" s="383">
        <v>14192736</v>
      </c>
      <c r="H110" s="383"/>
      <c r="I110" s="194" t="s">
        <v>725</v>
      </c>
    </row>
    <row r="111" spans="1:10" ht="13.8" x14ac:dyDescent="0.25">
      <c r="A111" s="236" t="s">
        <v>489</v>
      </c>
      <c r="B111" s="366">
        <v>155410</v>
      </c>
      <c r="C111" s="353">
        <v>44425</v>
      </c>
      <c r="D111" s="383"/>
      <c r="E111" s="383"/>
      <c r="F111" s="318"/>
      <c r="G111" s="383">
        <v>774899</v>
      </c>
      <c r="H111" s="383"/>
      <c r="I111" s="194" t="s">
        <v>725</v>
      </c>
    </row>
    <row r="112" spans="1:10" ht="13.8" x14ac:dyDescent="0.25">
      <c r="A112" s="236" t="s">
        <v>465</v>
      </c>
      <c r="B112" s="376">
        <v>20025.11</v>
      </c>
      <c r="C112" s="353">
        <v>44516</v>
      </c>
      <c r="D112" s="195"/>
      <c r="E112" s="194"/>
      <c r="F112" s="195"/>
      <c r="G112" s="194"/>
      <c r="H112" s="292"/>
      <c r="I112" s="292"/>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Nov 2021</v>
      </c>
      <c r="G122" s="124"/>
      <c r="H122" s="124"/>
    </row>
    <row r="123" spans="1:11" ht="12.75" customHeight="1" x14ac:dyDescent="0.25">
      <c r="F123" s="379" t="s">
        <v>177</v>
      </c>
      <c r="G123" s="379"/>
      <c r="H123" s="379"/>
    </row>
    <row r="124" spans="1:11" x14ac:dyDescent="0.25">
      <c r="F124" s="379"/>
      <c r="G124" s="379"/>
      <c r="H124" s="379"/>
    </row>
    <row r="125" spans="1:11" x14ac:dyDescent="0.25">
      <c r="K125" s="125"/>
    </row>
    <row r="126" spans="1:11" ht="13.8" thickBot="1" x14ac:dyDescent="0.3">
      <c r="A126" s="115" t="str">
        <f>"Position in the world league in "&amp;TEXT(DATE(YEAR(H3),MONTH(H3)-1,DAY(H3)),"MMMM") &amp;" "&amp; TEXT(H3,"YYYY")&amp;" (based on the WFE statistics)"</f>
        <v>Position in the world league in October 2021 (based on the WFE statistics)</v>
      </c>
      <c r="B126" s="120"/>
      <c r="C126" s="120"/>
      <c r="D126" s="120"/>
      <c r="E126" s="120"/>
      <c r="F126" s="120"/>
      <c r="G126" s="120"/>
      <c r="H126" s="120"/>
      <c r="I126" s="120"/>
      <c r="K126" s="125"/>
    </row>
    <row r="127" spans="1:11" ht="13.8" x14ac:dyDescent="0.25">
      <c r="A127" s="269"/>
      <c r="B127" s="269"/>
      <c r="C127" s="269"/>
      <c r="D127" s="269"/>
      <c r="E127" s="303"/>
      <c r="F127" s="392" t="s">
        <v>182</v>
      </c>
      <c r="G127" s="392"/>
      <c r="H127" s="392"/>
      <c r="I127" s="392"/>
    </row>
    <row r="128" spans="1:11" ht="14.4" thickBot="1" x14ac:dyDescent="0.3">
      <c r="A128" s="282"/>
      <c r="B128" s="304" t="str">
        <f>TEXT(DATE(2000,TEXT(H3,"M")-1,1),"mmm")&amp; " "&amp; TEXT(H3,"YYYY")</f>
        <v>Oct 2021</v>
      </c>
      <c r="C128" s="272" t="s">
        <v>16</v>
      </c>
      <c r="D128" s="304" t="str">
        <f>TEXT(DATE(2000,TEXT(H3,"M")-1,1),"mmm")&amp; " "&amp; TEXT(H3,"YYYY")-1</f>
        <v>Oct 2020</v>
      </c>
      <c r="E128" s="305" t="s">
        <v>16</v>
      </c>
      <c r="F128" s="282">
        <f>TEXT($H$3,"YYYY")-1</f>
        <v>2020</v>
      </c>
      <c r="G128" s="272">
        <f>TEXT($H$3,"YYYY")-2</f>
        <v>2019</v>
      </c>
      <c r="H128" s="282">
        <f>TEXT($H$3,"YYYY")-3</f>
        <v>2018</v>
      </c>
      <c r="I128" s="272">
        <f>TEXT($H$3,"YYYY")-4</f>
        <v>2017</v>
      </c>
    </row>
    <row r="129" spans="1:11" ht="13.8" x14ac:dyDescent="0.25">
      <c r="A129" s="236" t="s">
        <v>17</v>
      </c>
      <c r="B129" s="368">
        <v>1123586.77</v>
      </c>
      <c r="C129" s="324">
        <v>18</v>
      </c>
      <c r="D129" s="368">
        <v>833086</v>
      </c>
      <c r="E129" s="324">
        <v>19</v>
      </c>
      <c r="F129" s="292">
        <v>19</v>
      </c>
      <c r="G129" s="324">
        <v>17</v>
      </c>
      <c r="H129" s="292">
        <v>18</v>
      </c>
      <c r="I129" s="324">
        <v>17</v>
      </c>
      <c r="K129" s="125"/>
    </row>
    <row r="130" spans="1:11" ht="13.8" x14ac:dyDescent="0.25">
      <c r="A130" s="236" t="s">
        <v>18</v>
      </c>
      <c r="B130" s="368">
        <v>28132.02</v>
      </c>
      <c r="C130" s="324">
        <v>22</v>
      </c>
      <c r="D130" s="368">
        <v>25901</v>
      </c>
      <c r="E130" s="324">
        <v>22</v>
      </c>
      <c r="F130" s="292">
        <v>27</v>
      </c>
      <c r="G130" s="324">
        <v>20</v>
      </c>
      <c r="H130" s="292">
        <v>20</v>
      </c>
      <c r="I130" s="324">
        <v>24</v>
      </c>
      <c r="K130" s="250"/>
    </row>
    <row r="131" spans="1:11" ht="13.8" x14ac:dyDescent="0.25">
      <c r="A131" s="236" t="s">
        <v>146</v>
      </c>
      <c r="B131" s="342">
        <v>0.27110023732301514</v>
      </c>
      <c r="C131" s="324">
        <v>31</v>
      </c>
      <c r="D131" s="374">
        <v>0.34010000000000001</v>
      </c>
      <c r="E131" s="324">
        <v>31</v>
      </c>
      <c r="F131" s="292">
        <v>36</v>
      </c>
      <c r="G131" s="324">
        <v>25</v>
      </c>
      <c r="H131" s="292">
        <v>22</v>
      </c>
      <c r="I131" s="324">
        <v>29</v>
      </c>
      <c r="K131" s="250"/>
    </row>
    <row r="132" spans="1:11" ht="13.8" thickBot="1" x14ac:dyDescent="0.3">
      <c r="A132" s="108"/>
      <c r="B132" s="138"/>
      <c r="C132" s="139"/>
      <c r="D132" s="138"/>
      <c r="E132" s="139"/>
      <c r="F132" s="375"/>
      <c r="G132" s="139"/>
      <c r="H132" s="108"/>
      <c r="I132" s="139"/>
      <c r="K132" s="250"/>
    </row>
    <row r="133" spans="1:11" ht="13.8" thickTop="1" x14ac:dyDescent="0.25">
      <c r="A133" s="18" t="s">
        <v>19</v>
      </c>
      <c r="B133" s="18"/>
      <c r="D133" s="27"/>
      <c r="E133" s="49"/>
      <c r="K133" s="250"/>
    </row>
    <row r="134" spans="1:11" x14ac:dyDescent="0.25">
      <c r="A134" s="18" t="s">
        <v>20</v>
      </c>
      <c r="B134" s="36"/>
      <c r="K134" s="250"/>
    </row>
    <row r="135" spans="1:11" x14ac:dyDescent="0.25">
      <c r="K135" s="250"/>
    </row>
    <row r="136" spans="1:11" x14ac:dyDescent="0.25">
      <c r="A136" s="123" t="s">
        <v>147</v>
      </c>
      <c r="K136" s="250"/>
    </row>
    <row r="137" spans="1:11" ht="13.8" thickBot="1" x14ac:dyDescent="0.3">
      <c r="A137" s="116" t="s">
        <v>131</v>
      </c>
      <c r="B137" s="116"/>
      <c r="C137" s="116"/>
      <c r="D137" s="116"/>
      <c r="E137" s="116"/>
      <c r="F137" s="116"/>
      <c r="G137" s="116"/>
      <c r="H137" s="116"/>
      <c r="I137" s="116"/>
    </row>
    <row r="138" spans="1:11" ht="13.8" x14ac:dyDescent="0.25">
      <c r="A138" s="269"/>
      <c r="B138" s="268" t="s">
        <v>1</v>
      </c>
      <c r="C138" s="268" t="s">
        <v>159</v>
      </c>
      <c r="D138" s="268" t="s">
        <v>159</v>
      </c>
      <c r="E138" s="268" t="s">
        <v>2</v>
      </c>
      <c r="F138" s="307"/>
      <c r="G138" s="269"/>
      <c r="H138" s="269"/>
      <c r="I138" s="269"/>
    </row>
    <row r="139" spans="1:11" ht="13.8" x14ac:dyDescent="0.25">
      <c r="A139" s="269"/>
      <c r="B139" s="268" t="s">
        <v>3</v>
      </c>
      <c r="C139" s="268" t="s">
        <v>158</v>
      </c>
      <c r="D139" s="268" t="s">
        <v>158</v>
      </c>
      <c r="E139" s="268" t="s">
        <v>5</v>
      </c>
      <c r="F139" s="307"/>
      <c r="G139" s="269"/>
      <c r="H139" s="269"/>
      <c r="I139" s="269"/>
    </row>
    <row r="140" spans="1:11" ht="14.4" thickBot="1" x14ac:dyDescent="0.3">
      <c r="A140" s="282"/>
      <c r="B140" s="270" t="str">
        <f>TEXT($H$3,"MMM")&amp;" "&amp;TEXT($H$3,"YYYY")</f>
        <v>Nov 2021</v>
      </c>
      <c r="C140" s="270" t="str">
        <f>TEXT($H$3,"YYYY")</f>
        <v>2021</v>
      </c>
      <c r="D140" s="270">
        <f>TEXT($H$3,"YYYY")-1</f>
        <v>2020</v>
      </c>
      <c r="E140" s="272" t="s">
        <v>6</v>
      </c>
      <c r="F140" s="272">
        <f>TEXT($H$3,"YYYY")-1</f>
        <v>2020</v>
      </c>
      <c r="G140" s="272">
        <f>TEXT($H$3,"YYYY")-2</f>
        <v>2019</v>
      </c>
      <c r="H140" s="272">
        <f>TEXT($H$3,"YYYY")-3</f>
        <v>2018</v>
      </c>
      <c r="I140" s="272">
        <f>TEXT($H$3,"YYYY")-4</f>
        <v>2017</v>
      </c>
    </row>
    <row r="141" spans="1:11" ht="13.8" x14ac:dyDescent="0.25">
      <c r="A141" s="236" t="s">
        <v>21</v>
      </c>
      <c r="B141" s="186">
        <f>SUMIF(Data!$DG$1:$DG$15,"AS",Data!$DH$1:$DH$15)/1000000</f>
        <v>0</v>
      </c>
      <c r="C141" s="340">
        <f>SUMIF(Data!$DJ$1:$DJ$15,"AS",Data!$DK$1:$DK$15)/1000000</f>
        <v>0</v>
      </c>
      <c r="D141" s="340">
        <f>SUMIF(Data!$DM$1:$DM$15,"AS",Data!$DN$1:$DN$15)/1000000</f>
        <v>1419.0386701500001</v>
      </c>
      <c r="E141" s="342">
        <f>IFERROR(IF(OR(AND(D141="",C141=""),AND(D141=0,C141=0)),0,
IF(OR(D141="",D141=0),1,
IF(OR(D141&lt;&gt;"",D141&lt;&gt;0),(C141-D141)/ABS(D141)))),-1)</f>
        <v>-1</v>
      </c>
      <c r="F141" s="366">
        <v>1419</v>
      </c>
      <c r="G141" s="347">
        <v>1107</v>
      </c>
      <c r="H141" s="348">
        <v>5231</v>
      </c>
      <c r="I141" s="348">
        <v>23315</v>
      </c>
    </row>
    <row r="142" spans="1:11" ht="13.8" x14ac:dyDescent="0.25">
      <c r="A142" s="236" t="s">
        <v>22</v>
      </c>
      <c r="B142" s="186">
        <f>(SUMIF(Data!$DG$1:$DG$15,"RT",Data!$DH$1:$DH$15)+SUMIF(Data!$DG$1:$DG$15,"TU",Data!$DH$1:$DH$15))/1000000</f>
        <v>33.883881020000004</v>
      </c>
      <c r="C142" s="340">
        <f>(SUMIF(Data!$DJ$1:$DJ$15,"RT",Data!$DK$1:$DK$15)+SUMIF(Data!$DJ$1:$DJ$15,"TU",Data!$DK$1:$DK$15))/1000000</f>
        <v>880.48990084000002</v>
      </c>
      <c r="D142" s="340">
        <f>(SUMIF(Data!$DM$1:$DM$15,"RT",Data!$DN$1:$DN$15)+SUMIF(Data!$DM$1:$DM$15,"TU",Data!$DN$1:$DN$15))/1000000</f>
        <v>27181.531702779997</v>
      </c>
      <c r="E142" s="342">
        <f t="shared" ref="E142:E145" si="12">IFERROR(IF(OR(AND(D142="",C142=""),AND(D142=0,C142=0)),0,
IF(OR(D142="",D142=0),1,
IF(OR(D142&lt;&gt;"",D142&lt;&gt;0),(C142-D142)/ABS(D142)))),-1)</f>
        <v>-0.967607053551366</v>
      </c>
      <c r="F142" s="366">
        <v>27182</v>
      </c>
      <c r="G142" s="347">
        <v>4409</v>
      </c>
      <c r="H142" s="348">
        <v>5097</v>
      </c>
      <c r="I142" s="348">
        <v>32688</v>
      </c>
    </row>
    <row r="143" spans="1:11" ht="13.8" x14ac:dyDescent="0.25">
      <c r="A143" s="236" t="s">
        <v>156</v>
      </c>
      <c r="B143" s="186">
        <v>0</v>
      </c>
      <c r="C143" s="340">
        <v>0</v>
      </c>
      <c r="D143" s="340">
        <v>0</v>
      </c>
      <c r="E143" s="342">
        <f t="shared" si="12"/>
        <v>0</v>
      </c>
      <c r="F143" s="366" t="s">
        <v>507</v>
      </c>
      <c r="G143" s="347" t="s">
        <v>506</v>
      </c>
      <c r="H143" s="176" t="s">
        <v>500</v>
      </c>
      <c r="I143" s="176" t="s">
        <v>501</v>
      </c>
    </row>
    <row r="144" spans="1:11" ht="13.8" x14ac:dyDescent="0.25">
      <c r="A144" s="236" t="s">
        <v>23</v>
      </c>
      <c r="B144" s="186">
        <f>(SUMIF(Data!$DG$1:$DG$15,"SO",Data!$DH$1:$DH$15)+SUMIF(Data!$DG$1:$DG$15,"SS",Data!$DH$1:$DH$15))/1000000</f>
        <v>172.19145542000001</v>
      </c>
      <c r="C144" s="340">
        <f>(SUMIF(Data!$DJ$1:$DJ$15,"SO",Data!$DK$1:$DK$15)+SUMIF(Data!$DJ$1:$DJ$15,"SS",Data!$DK$1:$DK$15))/1000000</f>
        <v>2904.0329678600001</v>
      </c>
      <c r="D144" s="340">
        <f>(SUMIF(Data!$DM$1:$DM$15,"SO",Data!$DN$1:$DN$15)+SUMIF(Data!$DM$1:$DM$15,"SS",Data!$DN$1:$DN$15))/1000000</f>
        <v>2307.3958128900003</v>
      </c>
      <c r="E144" s="342">
        <f t="shared" si="12"/>
        <v>0.25857598927628939</v>
      </c>
      <c r="F144" s="366">
        <v>3253</v>
      </c>
      <c r="G144" s="347">
        <v>4585</v>
      </c>
      <c r="H144" s="348">
        <v>6461</v>
      </c>
      <c r="I144" s="348">
        <v>9468</v>
      </c>
    </row>
    <row r="145" spans="1:9" ht="13.8" x14ac:dyDescent="0.25">
      <c r="A145" s="236" t="s">
        <v>24</v>
      </c>
      <c r="B145" s="186">
        <f>(SUMIF(Data!$DG$1:$DG$15,"SI",Data!$DH$1:$DH$15)+SUMIF(Data!$DG$1:$DG$15,"GI",Data!$DH$1:$DH$15))/1000000</f>
        <v>4803.8756780100002</v>
      </c>
      <c r="C145" s="340">
        <f>(SUMIF(Data!$DJ$1:$DJ$15,"SI",Data!$DK$1:$DK$15)+SUMIF(Data!$DJ$1:$DJ$15,"GI",Data!$DK$1:$DK$15))/1000000</f>
        <v>13593.170875399999</v>
      </c>
      <c r="D145" s="340">
        <f>(SUMIF(Data!$DM$1:$DM$15,"SI",Data!$DN$1:$DN$15)+SUMIF(Data!$DM$1:$DM$15,"GI",Data!$DN$1:$DN$15))/1000000</f>
        <v>34279.423422959997</v>
      </c>
      <c r="E145" s="342">
        <f t="shared" si="12"/>
        <v>-0.60345975754377956</v>
      </c>
      <c r="F145" s="366">
        <v>35048</v>
      </c>
      <c r="G145" s="347">
        <v>25745</v>
      </c>
      <c r="H145" s="348">
        <v>38830</v>
      </c>
      <c r="I145" s="348">
        <v>35048</v>
      </c>
    </row>
    <row r="146" spans="1:9" ht="13.8" x14ac:dyDescent="0.25">
      <c r="A146" s="276" t="s">
        <v>25</v>
      </c>
      <c r="B146" s="341">
        <f>SUM(B141:B145)</f>
        <v>5009.95101445</v>
      </c>
      <c r="C146" s="341">
        <f>SUM(C141:C145)</f>
        <v>17377.693744099997</v>
      </c>
      <c r="D146" s="341">
        <f>SUM(D141:D145)</f>
        <v>65187.389608779995</v>
      </c>
      <c r="E146" s="343">
        <f>IFERROR(IF(OR(AND(D146="",C146=""),AND(D146=0,C146=0)),0,
IF(OR(D146="",D146=0),1,
IF(OR(D146&lt;&gt;"",D146&lt;&gt;0),(C146-D146)/ABS(D146)))),-1)</f>
        <v>-0.73341939524819655</v>
      </c>
      <c r="F146" s="370">
        <v>66902</v>
      </c>
      <c r="G146" s="354">
        <v>35847</v>
      </c>
      <c r="H146" s="354">
        <v>55620</v>
      </c>
      <c r="I146" s="354">
        <v>100520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69"/>
      <c r="B151" s="268" t="s">
        <v>1</v>
      </c>
      <c r="C151" s="268" t="s">
        <v>159</v>
      </c>
      <c r="D151" s="268" t="s">
        <v>159</v>
      </c>
      <c r="E151" s="268" t="s">
        <v>27</v>
      </c>
      <c r="F151" s="307"/>
      <c r="G151" s="269"/>
      <c r="H151" s="269"/>
      <c r="I151" s="269"/>
    </row>
    <row r="152" spans="1:9" ht="13.8" x14ac:dyDescent="0.25">
      <c r="A152" s="269"/>
      <c r="B152" s="268" t="s">
        <v>3</v>
      </c>
      <c r="C152" s="268" t="s">
        <v>158</v>
      </c>
      <c r="D152" s="268" t="s">
        <v>158</v>
      </c>
      <c r="E152" s="268" t="s">
        <v>5</v>
      </c>
      <c r="F152" s="307"/>
      <c r="G152" s="269"/>
      <c r="H152" s="269"/>
      <c r="I152" s="269"/>
    </row>
    <row r="153" spans="1:9" ht="14.4" thickBot="1" x14ac:dyDescent="0.3">
      <c r="A153" s="282"/>
      <c r="B153" s="270" t="str">
        <f>TEXT($H$3,"MMM")&amp;" "&amp;TEXT($H$3,"YYYY")</f>
        <v>Nov 2021</v>
      </c>
      <c r="C153" s="270" t="str">
        <f>TEXT($H$3,"YYYY")</f>
        <v>2021</v>
      </c>
      <c r="D153" s="270">
        <f>TEXT($H$3,"YYYY")-1</f>
        <v>2020</v>
      </c>
      <c r="E153" s="272" t="s">
        <v>6</v>
      </c>
      <c r="F153" s="272">
        <f>TEXT($H$3,"YYYY")-1</f>
        <v>2020</v>
      </c>
      <c r="G153" s="272">
        <f>TEXT($H$3,"YYYY")-2</f>
        <v>2019</v>
      </c>
      <c r="H153" s="272">
        <f>TEXT($H$3,"YYYY")-3</f>
        <v>2018</v>
      </c>
      <c r="I153" s="272">
        <f>TEXT($H$3,"YYYY")-4</f>
        <v>2017</v>
      </c>
    </row>
    <row r="154" spans="1:9" ht="13.8" x14ac:dyDescent="0.25">
      <c r="A154" s="236" t="s">
        <v>152</v>
      </c>
      <c r="B154" s="274">
        <v>0.30399999999999999</v>
      </c>
      <c r="C154" s="274">
        <v>0.3397</v>
      </c>
      <c r="D154" s="274">
        <v>0.38600000000000001</v>
      </c>
      <c r="E154" s="274">
        <f>IFERROR(IF(OR(AND(D154="",C154=""),AND(D154=0,C154=0)),"",
IF(OR(D154="",D154=0),1,
IF(OR(D154&lt;&gt;"",D154&lt;&gt;0),(C154-D154)/ABS(D154)))),-1)</f>
        <v>-0.11994818652849742</v>
      </c>
      <c r="F154" s="372">
        <v>37.200000000000003</v>
      </c>
      <c r="G154" s="351">
        <v>35.89</v>
      </c>
      <c r="H154" s="351">
        <v>44.7</v>
      </c>
      <c r="I154" s="351">
        <v>35.9</v>
      </c>
    </row>
    <row r="155" spans="1:9" ht="13.8" x14ac:dyDescent="0.25">
      <c r="A155" s="235" t="s">
        <v>153</v>
      </c>
      <c r="B155" s="274">
        <v>0.2757</v>
      </c>
      <c r="C155" s="274">
        <v>0.30730000000000002</v>
      </c>
      <c r="D155" s="274">
        <v>0.36249999999999999</v>
      </c>
      <c r="E155" s="274">
        <f>IFERROR(IF(OR(AND(D155="",C155=""),AND(D155=0,C155=0)),"",
IF(OR(D155="",D155=0),1,
IF(OR(D155&lt;&gt;"",D155&lt;&gt;0),(C155-D155)/ABS(D155)))),-1)</f>
        <v>-0.15227586206896546</v>
      </c>
      <c r="F155" s="372">
        <v>34.89</v>
      </c>
      <c r="G155" s="351">
        <v>34.21</v>
      </c>
      <c r="H155" s="351">
        <v>42</v>
      </c>
      <c r="I155" s="351">
        <v>33</v>
      </c>
    </row>
    <row r="156" spans="1:9" ht="13.8" thickBot="1" x14ac:dyDescent="0.3">
      <c r="A156" s="108"/>
      <c r="B156" s="138"/>
      <c r="C156" s="138"/>
      <c r="D156" s="137"/>
      <c r="E156" s="112"/>
      <c r="F156" s="141"/>
      <c r="G156" s="141"/>
      <c r="H156" s="141"/>
      <c r="I156" s="141"/>
    </row>
    <row r="157" spans="1:9" ht="13.8" thickTop="1" x14ac:dyDescent="0.25">
      <c r="A157" s="18" t="s">
        <v>726</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69"/>
      <c r="B161" s="268" t="s">
        <v>1</v>
      </c>
      <c r="C161" s="268" t="s">
        <v>159</v>
      </c>
      <c r="D161" s="268" t="s">
        <v>159</v>
      </c>
      <c r="E161" s="268" t="s">
        <v>27</v>
      </c>
      <c r="F161" s="307"/>
      <c r="G161" s="269"/>
      <c r="H161" s="269"/>
      <c r="I161" s="269"/>
    </row>
    <row r="162" spans="1:9" ht="13.8" x14ac:dyDescent="0.25">
      <c r="A162" s="269"/>
      <c r="B162" s="268" t="s">
        <v>3</v>
      </c>
      <c r="C162" s="268" t="s">
        <v>4</v>
      </c>
      <c r="D162" s="268" t="s">
        <v>158</v>
      </c>
      <c r="E162" s="268" t="s">
        <v>5</v>
      </c>
      <c r="F162" s="307"/>
      <c r="G162" s="269"/>
      <c r="H162" s="269"/>
      <c r="I162" s="269"/>
    </row>
    <row r="163" spans="1:9" ht="14.4" thickBot="1" x14ac:dyDescent="0.3">
      <c r="A163" s="282"/>
      <c r="B163" s="270" t="str">
        <f>TEXT($H$3,"MMM")&amp;" "&amp;TEXT($H$3,"YYYY")</f>
        <v>Nov 2021</v>
      </c>
      <c r="C163" s="270" t="str">
        <f>TEXT($H$3,"YYYY")</f>
        <v>2021</v>
      </c>
      <c r="D163" s="270">
        <f>TEXT($H$3,"YYYY")-1</f>
        <v>2020</v>
      </c>
      <c r="E163" s="272" t="s">
        <v>6</v>
      </c>
      <c r="F163" s="272">
        <f>TEXT($H$3,"YYYY")-1</f>
        <v>2020</v>
      </c>
      <c r="G163" s="272">
        <f>TEXT($H$3,"YYYY")-2</f>
        <v>2019</v>
      </c>
      <c r="H163" s="272">
        <f>TEXT($H$3,"YYYY")-3</f>
        <v>2018</v>
      </c>
      <c r="I163" s="272">
        <f>TEXT($H$3,"YYYY")-4</f>
        <v>2017</v>
      </c>
    </row>
    <row r="164" spans="1:9" ht="13.8" x14ac:dyDescent="0.25">
      <c r="A164" s="300" t="s">
        <v>169</v>
      </c>
      <c r="B164" s="236"/>
      <c r="C164" s="236"/>
      <c r="D164" s="236"/>
      <c r="E164" s="236"/>
      <c r="F164" s="236"/>
      <c r="G164" s="236"/>
      <c r="H164" s="236"/>
      <c r="I164" s="236"/>
    </row>
    <row r="165" spans="1:9" ht="13.8" x14ac:dyDescent="0.25">
      <c r="A165" s="236" t="s">
        <v>29</v>
      </c>
      <c r="B165" s="237">
        <f ca="1">SUMIF(Data!$BT$1:$BT$7,"&lt;&gt;AltX",Data!$BU$1:$BU$6)</f>
        <v>289</v>
      </c>
      <c r="C165" s="237">
        <f>SUMIF(Data!$BT$9:$BT$14,"&lt;&gt;AltX",Data!BU9:BU14)</f>
        <v>289</v>
      </c>
      <c r="D165" s="237">
        <f>SUMIF(Data!$BT$17:$BT$23,"&lt;&gt;AltX",Data!$BU$17:$BU$24)</f>
        <v>301</v>
      </c>
      <c r="E165" s="274">
        <f>IFERROR(IF(OR(AND(D165="",C165=""),AND(D165=0,C165=0)),"",
IF(OR(D165="",D165=0),1,
IF(OR(D165&lt;&gt;"",D165&lt;&gt;0),(C165-D165)/ABS(D165)))),-1)</f>
        <v>-3.9867109634551492E-2</v>
      </c>
      <c r="F165" s="365">
        <v>300</v>
      </c>
      <c r="G165" s="345">
        <v>312</v>
      </c>
      <c r="H165" s="345">
        <v>326</v>
      </c>
      <c r="I165" s="345">
        <v>324</v>
      </c>
    </row>
    <row r="166" spans="1:9" ht="13.8" x14ac:dyDescent="0.25">
      <c r="A166" s="236" t="s">
        <v>30</v>
      </c>
      <c r="B166" s="237">
        <f ca="1">SUMIF(Data!$BT$1:$BT$7,"&lt;&gt;AltX",Data!$BV$1:$BV$6)</f>
        <v>0</v>
      </c>
      <c r="C166" s="237">
        <f>SUMIF(Data!$BT$9:$BT$14,"&lt;&gt;AltX",Data!BV9:BV14)</f>
        <v>7</v>
      </c>
      <c r="D166" s="237">
        <f>SUMIF(Data!$BT$17:$BT$23,"&lt;&gt;AltX",Data!$BV$17:$BV$23)</f>
        <v>4</v>
      </c>
      <c r="E166" s="274">
        <f t="shared" ref="E166:E167" si="13">IFERROR(IF(OR(AND(D166="",C166=""),AND(D166=0,C166=0)),"",
IF(OR(D166="",D166=0),1,
IF(OR(D166&lt;&gt;"",D166&lt;&gt;0),(C166-D166)/ABS(D166)))),-1)</f>
        <v>0.75</v>
      </c>
      <c r="F166" s="365">
        <v>5</v>
      </c>
      <c r="G166" s="345">
        <v>6</v>
      </c>
      <c r="H166" s="345">
        <v>11</v>
      </c>
      <c r="I166" s="345">
        <v>13</v>
      </c>
    </row>
    <row r="167" spans="1:9" ht="13.8" x14ac:dyDescent="0.25">
      <c r="A167" s="236" t="s">
        <v>31</v>
      </c>
      <c r="B167" s="237">
        <f ca="1">SUMIF(Data!$BT$1:$BT$7,"&lt;&gt;AltX",Data!$BW$1:$BW$6)</f>
        <v>1</v>
      </c>
      <c r="C167" s="237">
        <f>SUMIF(Data!$BT$9:$BT$14,"&lt;&gt;AltX",Data!BW9:BW14)</f>
        <v>18</v>
      </c>
      <c r="D167" s="237">
        <f>SUMIF(Data!$BT$17:$BT$23,"&lt;&gt;AltX",Data!$BW$17:$BW$23)</f>
        <v>16</v>
      </c>
      <c r="E167" s="274">
        <f t="shared" si="13"/>
        <v>0.125</v>
      </c>
      <c r="F167" s="365">
        <v>17</v>
      </c>
      <c r="G167" s="345">
        <v>20</v>
      </c>
      <c r="H167" s="345">
        <v>9</v>
      </c>
      <c r="I167" s="345">
        <v>21</v>
      </c>
    </row>
    <row r="168" spans="1:9" ht="13.8" x14ac:dyDescent="0.25">
      <c r="A168" s="236"/>
      <c r="B168" s="237"/>
      <c r="C168" s="237"/>
      <c r="D168" s="237"/>
      <c r="E168" s="308"/>
      <c r="F168" s="365"/>
      <c r="G168" s="345"/>
      <c r="H168" s="345"/>
      <c r="I168" s="345"/>
    </row>
    <row r="169" spans="1:9" ht="13.8" x14ac:dyDescent="0.25">
      <c r="A169" s="276" t="s">
        <v>125</v>
      </c>
      <c r="B169" s="237"/>
      <c r="C169" s="237"/>
      <c r="D169" s="237"/>
      <c r="E169" s="308"/>
      <c r="F169" s="365"/>
      <c r="G169" s="345"/>
      <c r="H169" s="345"/>
      <c r="I169" s="345"/>
    </row>
    <row r="170" spans="1:9" ht="13.8" x14ac:dyDescent="0.25">
      <c r="A170" s="236" t="s">
        <v>29</v>
      </c>
      <c r="B170" s="237">
        <f ca="1">SUMIF(Data!$BT$1:$BT$7,"AltX",Data!$BU$1:$BU$6)</f>
        <v>36</v>
      </c>
      <c r="C170" s="237">
        <f>SUMIF(Data!$BT$9:$BT$14,"AltX",Data!BU9:BU14)</f>
        <v>36</v>
      </c>
      <c r="D170" s="237">
        <f>SUMIF(Data!$BT$17:$BT$23,"AltX",Data!$BU$17:$BU$24)</f>
        <v>39</v>
      </c>
      <c r="E170" s="274">
        <f t="shared" ref="E170:E171" si="14">IFERROR(IF(OR(AND(D170="",C170=""),AND(D170=0,C170=0)),"",
IF(OR(D170="",D170=0),1,
IF(OR(D170&lt;&gt;"",D170&lt;&gt;0),(C170-D170)/ABS(D170)))),-1)</f>
        <v>-7.6923076923076927E-2</v>
      </c>
      <c r="F170" s="365">
        <v>39</v>
      </c>
      <c r="G170" s="345">
        <v>42</v>
      </c>
      <c r="H170" s="345">
        <v>46</v>
      </c>
      <c r="I170" s="345">
        <v>53</v>
      </c>
    </row>
    <row r="171" spans="1:9" ht="13.8" x14ac:dyDescent="0.25">
      <c r="A171" s="236" t="s">
        <v>30</v>
      </c>
      <c r="B171" s="237">
        <f ca="1">SUMIF(Data!$BT$1:$BT$7,"AltX",Data!$BV$1:$BV$6)</f>
        <v>0</v>
      </c>
      <c r="C171" s="237">
        <f>SUMIF(Data!$BT$9:$BT$14,"AltX",Data!BV9:BV14)</f>
        <v>0</v>
      </c>
      <c r="D171" s="237">
        <f>SUMIF(Data!$BT$17:$BT$23,"AltX",Data!$BV$17:$BV$23)</f>
        <v>0</v>
      </c>
      <c r="E171" s="274" t="str">
        <f t="shared" si="14"/>
        <v/>
      </c>
      <c r="F171" s="365" t="s">
        <v>507</v>
      </c>
      <c r="G171" s="345" t="s">
        <v>506</v>
      </c>
      <c r="H171" s="345">
        <v>1</v>
      </c>
      <c r="I171" s="345">
        <v>8</v>
      </c>
    </row>
    <row r="172" spans="1:9" ht="13.8" x14ac:dyDescent="0.25">
      <c r="A172" s="236" t="s">
        <v>31</v>
      </c>
      <c r="B172" s="237">
        <f ca="1">SUMIF(Data!$BT$1:$BT$7,"AltX",Data!$BW$1:$BW$6)</f>
        <v>0</v>
      </c>
      <c r="C172" s="237">
        <f>SUMIF(Data!$BT$9:$BT$14,"AltX",Data!BW9:BW14)</f>
        <v>3</v>
      </c>
      <c r="D172" s="237">
        <f>SUMIF(Data!$BT$17:$BT$23,"AltX",Data!$BW$17:$BW$23)</f>
        <v>2</v>
      </c>
      <c r="E172" s="274">
        <f t="shared" ref="E172" ca="1" si="15">IFERROR(IF(OR(AND(C172="",B172=""),AND(C172=0,B172=0)),"",
IF(OR(C172="",C172=0),1,
IF(OR(C172&lt;&gt;"",C172&lt;&gt;0),(B172-C172)/ABS(C172)))),-1)</f>
        <v>-1</v>
      </c>
      <c r="F172" s="365">
        <v>2</v>
      </c>
      <c r="G172" s="345">
        <v>4</v>
      </c>
      <c r="H172" s="345">
        <v>8</v>
      </c>
      <c r="I172" s="345">
        <v>11</v>
      </c>
    </row>
    <row r="173" spans="1:9" ht="13.8" x14ac:dyDescent="0.25">
      <c r="A173" s="236"/>
      <c r="B173" s="237"/>
      <c r="C173" s="237"/>
      <c r="D173" s="237"/>
      <c r="E173" s="308"/>
      <c r="F173" s="365"/>
      <c r="G173" s="345"/>
      <c r="H173" s="345"/>
      <c r="I173" s="345"/>
    </row>
    <row r="174" spans="1:9" ht="13.8" x14ac:dyDescent="0.25">
      <c r="A174" s="276" t="s">
        <v>32</v>
      </c>
      <c r="B174" s="237"/>
      <c r="C174" s="237"/>
      <c r="D174" s="237"/>
      <c r="E174" s="308"/>
      <c r="F174" s="365"/>
      <c r="G174" s="345"/>
      <c r="H174" s="345"/>
      <c r="I174" s="345"/>
    </row>
    <row r="175" spans="1:9" ht="13.8" x14ac:dyDescent="0.25">
      <c r="A175" s="236" t="s">
        <v>30</v>
      </c>
      <c r="B175" s="237">
        <f t="shared" ref="B175:D176" ca="1" si="16">B166+B171</f>
        <v>0</v>
      </c>
      <c r="C175" s="237">
        <f t="shared" si="16"/>
        <v>7</v>
      </c>
      <c r="D175" s="237">
        <f t="shared" si="16"/>
        <v>4</v>
      </c>
      <c r="E175" s="274">
        <f t="shared" ref="E175:E181" si="17">IFERROR(IF(OR(AND(D175="",C175=""),AND(D175=0,C175=0)),"",
IF(OR(D175="",D175=0),1,
IF(OR(D175&lt;&gt;"",D175&lt;&gt;0),(C175-D175)/ABS(D175)))),-1)</f>
        <v>0.75</v>
      </c>
      <c r="F175" s="365">
        <v>5</v>
      </c>
      <c r="G175" s="345">
        <v>6</v>
      </c>
      <c r="H175" s="345">
        <v>12</v>
      </c>
      <c r="I175" s="345">
        <v>21</v>
      </c>
    </row>
    <row r="176" spans="1:9" ht="13.8" x14ac:dyDescent="0.25">
      <c r="A176" s="236" t="s">
        <v>31</v>
      </c>
      <c r="B176" s="237">
        <f t="shared" ca="1" si="16"/>
        <v>1</v>
      </c>
      <c r="C176" s="237">
        <f t="shared" si="16"/>
        <v>21</v>
      </c>
      <c r="D176" s="237">
        <f t="shared" si="16"/>
        <v>18</v>
      </c>
      <c r="E176" s="274">
        <f>IFERROR(IF(OR(AND(D176="",C176=""),AND(D176=0,C176=0)),"",
IF(OR(D176="",D176=0),1,
IF(OR(D176&lt;&gt;"",D176&lt;&gt;0),(C176-D176)/ABS(D176)))),-1)</f>
        <v>0.16666666666666666</v>
      </c>
      <c r="F176" s="365">
        <v>20</v>
      </c>
      <c r="G176" s="345">
        <v>24</v>
      </c>
      <c r="H176" s="345">
        <v>17</v>
      </c>
      <c r="I176" s="345">
        <v>32</v>
      </c>
    </row>
    <row r="177" spans="1:12" ht="13.8" x14ac:dyDescent="0.25">
      <c r="A177" s="236" t="s">
        <v>33</v>
      </c>
      <c r="B177" s="237">
        <f>SUM(Data!$CB$2:$CB$6)</f>
        <v>71</v>
      </c>
      <c r="C177" s="237">
        <f>SUM(Data!$CB$10:$CB$14)</f>
        <v>71</v>
      </c>
      <c r="D177" s="237">
        <f>SUM(Data!CB18:CB22)</f>
        <v>68</v>
      </c>
      <c r="E177" s="274">
        <f t="shared" si="17"/>
        <v>4.4117647058823532E-2</v>
      </c>
      <c r="F177" s="365">
        <v>69</v>
      </c>
      <c r="G177" s="345">
        <v>71</v>
      </c>
      <c r="H177" s="345">
        <v>74</v>
      </c>
      <c r="I177" s="345">
        <v>75</v>
      </c>
    </row>
    <row r="178" spans="1:12" ht="13.8" x14ac:dyDescent="0.25">
      <c r="A178" s="236" t="s">
        <v>34</v>
      </c>
      <c r="B178" s="237">
        <f>SUM(Data!$CA$2:$CA$6)</f>
        <v>254</v>
      </c>
      <c r="C178" s="237">
        <f>SUM(Data!$CA$10:$CA$14)</f>
        <v>254</v>
      </c>
      <c r="D178" s="237">
        <f>SUM(Data!CA18:CA22)</f>
        <v>272</v>
      </c>
      <c r="E178" s="274">
        <f t="shared" si="17"/>
        <v>-6.6176470588235295E-2</v>
      </c>
      <c r="F178" s="365">
        <v>270</v>
      </c>
      <c r="G178" s="345">
        <v>283</v>
      </c>
      <c r="H178" s="345">
        <v>298</v>
      </c>
      <c r="I178" s="345">
        <v>302</v>
      </c>
    </row>
    <row r="179" spans="1:12" ht="13.8" x14ac:dyDescent="0.25">
      <c r="A179" s="276" t="s">
        <v>35</v>
      </c>
      <c r="B179" s="238">
        <f ca="1">B165+B170</f>
        <v>325</v>
      </c>
      <c r="C179" s="238">
        <f>C165+C170</f>
        <v>325</v>
      </c>
      <c r="D179" s="238">
        <f>D165+D170</f>
        <v>340</v>
      </c>
      <c r="E179" s="309">
        <f t="shared" si="17"/>
        <v>-4.4117647058823532E-2</v>
      </c>
      <c r="F179" s="367">
        <v>339</v>
      </c>
      <c r="G179" s="346">
        <v>354</v>
      </c>
      <c r="H179" s="346">
        <v>372</v>
      </c>
      <c r="I179" s="346">
        <v>377</v>
      </c>
    </row>
    <row r="180" spans="1:12" ht="13.8" x14ac:dyDescent="0.25">
      <c r="A180" s="276"/>
      <c r="B180" s="237"/>
      <c r="C180" s="237"/>
      <c r="D180" s="238"/>
      <c r="E180" s="236"/>
      <c r="F180" s="365"/>
      <c r="G180" s="345"/>
      <c r="H180" s="345"/>
      <c r="I180" s="345"/>
    </row>
    <row r="181" spans="1:12" ht="13.8" x14ac:dyDescent="0.25">
      <c r="A181" s="276" t="s">
        <v>36</v>
      </c>
      <c r="B181" s="238">
        <f>Data!CD2</f>
        <v>1072</v>
      </c>
      <c r="C181" s="238">
        <f>Data!CD2</f>
        <v>1072</v>
      </c>
      <c r="D181" s="238">
        <f>Data!CD5</f>
        <v>1009</v>
      </c>
      <c r="E181" s="309">
        <f t="shared" si="17"/>
        <v>6.2438057482656094E-2</v>
      </c>
      <c r="F181" s="367">
        <v>1003</v>
      </c>
      <c r="G181" s="346">
        <v>946</v>
      </c>
      <c r="H181" s="346">
        <v>822</v>
      </c>
      <c r="I181" s="346">
        <v>812</v>
      </c>
    </row>
    <row r="182" spans="1:12" ht="13.8" x14ac:dyDescent="0.25">
      <c r="A182" s="276"/>
      <c r="B182" s="237"/>
      <c r="C182" s="237"/>
      <c r="D182" s="237"/>
      <c r="E182" s="236"/>
      <c r="F182" s="236"/>
      <c r="G182" s="236"/>
      <c r="H182" s="236"/>
      <c r="I182" s="236"/>
    </row>
    <row r="183" spans="1:12" ht="13.8" x14ac:dyDescent="0.25">
      <c r="A183" s="234" t="s">
        <v>37</v>
      </c>
      <c r="B183" s="310">
        <f>Data!CE2/1000000000</f>
        <v>19678.866357110379</v>
      </c>
      <c r="C183" s="310"/>
      <c r="D183" s="310">
        <f>Data!CE5/1000000000</f>
        <v>17400.317678058611</v>
      </c>
      <c r="E183" s="309">
        <f>IFERROR(IF(OR(AND(D183="",B183=""),AND(D183=0,B183=0)),"",
IF(OR(D183="",D183=0),1,
IF(OR(D183&lt;&gt;"",D183&lt;&gt;0),(B183-D183)/ABS(D183)))),-1)</f>
        <v>0.13094868273152069</v>
      </c>
      <c r="F183" s="352"/>
      <c r="G183" s="352">
        <v>17440.3</v>
      </c>
      <c r="H183" s="352">
        <v>12682</v>
      </c>
      <c r="I183" s="352">
        <v>15461.4</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5" customFormat="1" x14ac:dyDescent="0.25">
      <c r="K188" s="250"/>
      <c r="L188" s="250"/>
    </row>
    <row r="189" spans="1:12" s="235" customFormat="1" x14ac:dyDescent="0.25">
      <c r="K189" s="250"/>
      <c r="L189" s="250"/>
    </row>
    <row r="190" spans="1:12" s="235" customFormat="1" x14ac:dyDescent="0.25">
      <c r="K190" s="250"/>
      <c r="L190" s="250"/>
    </row>
    <row r="191" spans="1:12" s="235" customFormat="1" x14ac:dyDescent="0.25">
      <c r="K191" s="250"/>
      <c r="L191" s="250"/>
    </row>
    <row r="197" spans="1:13" ht="12.75" customHeight="1" x14ac:dyDescent="0.25">
      <c r="E197" s="124"/>
      <c r="F197" s="124"/>
      <c r="G197" s="124"/>
      <c r="H197" s="124"/>
      <c r="I197" s="124"/>
    </row>
    <row r="198" spans="1:13" ht="12.75" customHeight="1" x14ac:dyDescent="0.25">
      <c r="A198" s="107" t="str">
        <f>"Market Profile - "&amp; TEXT($H$3,"MMM")&amp;" "&amp;TEXT($H$3,"YYYY")</f>
        <v>Market Profile - Nov 2021</v>
      </c>
      <c r="E198" s="379" t="s">
        <v>178</v>
      </c>
      <c r="F198" s="379"/>
      <c r="G198" s="379"/>
      <c r="H198" s="379"/>
      <c r="I198" s="124"/>
    </row>
    <row r="199" spans="1:13" ht="13.8" thickBot="1" x14ac:dyDescent="0.3">
      <c r="A199" s="115"/>
      <c r="B199" s="115"/>
      <c r="C199" s="115"/>
      <c r="D199" s="115"/>
      <c r="E199" s="385"/>
      <c r="F199" s="385"/>
      <c r="G199" s="385"/>
      <c r="H199" s="385"/>
      <c r="I199" s="115"/>
    </row>
    <row r="200" spans="1:13" ht="13.8" x14ac:dyDescent="0.25">
      <c r="A200" s="269"/>
      <c r="B200" s="269"/>
      <c r="C200" s="269"/>
      <c r="D200" s="173"/>
      <c r="E200" s="196"/>
      <c r="F200" s="311"/>
      <c r="G200" s="388" t="s">
        <v>180</v>
      </c>
      <c r="H200" s="388" t="s">
        <v>179</v>
      </c>
      <c r="I200" s="312"/>
    </row>
    <row r="201" spans="1:13" ht="12.75" customHeight="1" x14ac:dyDescent="0.25">
      <c r="A201" s="269"/>
      <c r="B201" s="269"/>
      <c r="C201" s="269"/>
      <c r="D201" s="173"/>
      <c r="E201" s="388" t="s">
        <v>39</v>
      </c>
      <c r="F201" s="393" t="str">
        <f>"Index Close   "&amp;TEXT($H$3,"MMM")&amp;" "&amp;TEXT($H$3,"YYYY")</f>
        <v>Index Close   Nov 2021</v>
      </c>
      <c r="G201" s="388"/>
      <c r="H201" s="388"/>
      <c r="I201" s="395" t="s">
        <v>40</v>
      </c>
    </row>
    <row r="202" spans="1:13" ht="14.4" thickBot="1" x14ac:dyDescent="0.3">
      <c r="A202" s="313"/>
      <c r="B202" s="314"/>
      <c r="C202" s="314"/>
      <c r="D202" s="188"/>
      <c r="E202" s="389"/>
      <c r="F202" s="394"/>
      <c r="G202" s="389"/>
      <c r="H202" s="389"/>
      <c r="I202" s="396"/>
    </row>
    <row r="203" spans="1:13" ht="13.8" x14ac:dyDescent="0.25">
      <c r="A203" s="315" t="s">
        <v>38</v>
      </c>
      <c r="B203" s="315"/>
      <c r="C203" s="315"/>
      <c r="D203" s="315"/>
      <c r="E203" s="315"/>
      <c r="F203" s="315"/>
      <c r="G203" s="315"/>
      <c r="H203" s="315"/>
      <c r="I203" s="315"/>
    </row>
    <row r="204" spans="1:13" ht="13.8" x14ac:dyDescent="0.25">
      <c r="A204" s="236" t="s">
        <v>41</v>
      </c>
      <c r="B204" s="236"/>
      <c r="C204" s="175"/>
      <c r="D204" s="175"/>
      <c r="E204" s="236" t="s">
        <v>42</v>
      </c>
      <c r="F204" s="175">
        <f>IFERROR(VLOOKUP(E204,Data!$G$23:$H$196,2,FALSE),0)</f>
        <v>70475.017329440001</v>
      </c>
      <c r="G204" s="274">
        <f>IF(IFERROR(VLOOKUP(E204,Data!$O$23:$P$196,2,FALSE),0)=0,0,(F204-IFERROR(VLOOKUP(E204,Data!$O$23:$P$196,2,FALSE),0))/ABS(IFERROR(VLOOKUP(E204,Data!$O$23:$P$196,2,FALSE),0)))</f>
        <v>4.4620806296960379E-2</v>
      </c>
      <c r="H204" s="175">
        <f>VLOOKUP(E204,Data!$B$23:$E$400,3,FALSE)</f>
        <v>71015.396362300002</v>
      </c>
      <c r="I204" s="316">
        <f>VLOOKUP(E204,Data!$B$23:$E$400,2,FALSE)</f>
        <v>44523</v>
      </c>
    </row>
    <row r="205" spans="1:13" ht="13.8" x14ac:dyDescent="0.25">
      <c r="A205" s="236" t="s">
        <v>43</v>
      </c>
      <c r="B205" s="236"/>
      <c r="C205" s="175"/>
      <c r="D205" s="175"/>
      <c r="E205" s="236" t="s">
        <v>44</v>
      </c>
      <c r="F205" s="175">
        <f>IFERROR(VLOOKUP(E205,Data!$G$23:$H$196,2,FALSE),0)</f>
        <v>76876.787215389995</v>
      </c>
      <c r="G205" s="274">
        <f>IF(IFERROR(VLOOKUP(E205,Data!$O$23:$P$196,2,FALSE),0)=0,0,(F205-IFERROR(VLOOKUP(E205,Data!$O$23:$P$196,2,FALSE),0))/ABS(IFERROR(VLOOKUP(E205,Data!$O$23:$P$196,2,FALSE),0)))</f>
        <v>-1.6038347604563501E-2</v>
      </c>
      <c r="H205" s="175">
        <f>VLOOKUP(E205,Data!$B$23:$E$400,3,FALSE)</f>
        <v>82603.124167989998</v>
      </c>
      <c r="I205" s="316">
        <f>VLOOKUP(E205,Data!$B$23:$E$400,2,FALSE)</f>
        <v>42594</v>
      </c>
      <c r="J205" s="152"/>
      <c r="M205" s="152"/>
    </row>
    <row r="206" spans="1:13" s="155" customFormat="1" ht="13.8" x14ac:dyDescent="0.25">
      <c r="A206" s="292" t="s">
        <v>45</v>
      </c>
      <c r="B206" s="292"/>
      <c r="C206" s="176"/>
      <c r="D206" s="176"/>
      <c r="E206" s="292" t="s">
        <v>46</v>
      </c>
      <c r="F206" s="176">
        <f>IFERROR(VLOOKUP(E206,Data!$G$23:$H$196,2,FALSE),0)</f>
        <v>63199.422052649999</v>
      </c>
      <c r="G206" s="317">
        <f>IF(IFERROR(VLOOKUP(E206,Data!$O$23:$P$196,2,FALSE),0)=0,0,(F206-IFERROR(VLOOKUP(E206,Data!$O$23:$P$196,2,FALSE),0))/ABS(IFERROR(VLOOKUP(E206,Data!$O$23:$P$196,2,FALSE),0)))</f>
        <v>-1.8099517604626542E-2</v>
      </c>
      <c r="H206" s="175">
        <f>VLOOKUP(E206,Data!$B$23:$E$400,3,FALSE)</f>
        <v>65591.938838820002</v>
      </c>
      <c r="I206" s="316">
        <f>VLOOKUP(E206,Data!$B$23:$E$400,2,FALSE)</f>
        <v>44509</v>
      </c>
      <c r="K206" s="168"/>
      <c r="L206" s="168"/>
    </row>
    <row r="207" spans="1:13" ht="13.8" x14ac:dyDescent="0.25">
      <c r="A207" s="236" t="s">
        <v>47</v>
      </c>
      <c r="B207" s="236"/>
      <c r="C207" s="175"/>
      <c r="D207" s="175"/>
      <c r="E207" s="236" t="s">
        <v>48</v>
      </c>
      <c r="F207" s="175">
        <f>IFERROR(VLOOKUP(E207,Data!$G$23:$H$196,2,FALSE),0)</f>
        <v>8313.1621427099999</v>
      </c>
      <c r="G207" s="274">
        <f>IF(IFERROR(VLOOKUP(E207,Data!$O$23:$P$196,2,FALSE),0)=0,0,(F207-IFERROR(VLOOKUP(E207,Data!$O$23:$P$196,2,FALSE),0))/ABS(IFERROR(VLOOKUP(E207,Data!$O$23:$P$196,2,FALSE),0)))</f>
        <v>4.5743650549253494E-3</v>
      </c>
      <c r="H207" s="175">
        <f>VLOOKUP(E207,Data!$B$23:$E$400,3,FALSE)</f>
        <v>8506.8920910800007</v>
      </c>
      <c r="I207" s="316">
        <f>VLOOKUP(E207,Data!$B$23:$E$400,2,FALSE)</f>
        <v>44515</v>
      </c>
      <c r="J207" s="152"/>
      <c r="M207" s="152"/>
    </row>
    <row r="208" spans="1:13" ht="13.8" x14ac:dyDescent="0.25">
      <c r="A208" s="236" t="s">
        <v>49</v>
      </c>
      <c r="B208" s="236"/>
      <c r="C208" s="175"/>
      <c r="D208" s="175"/>
      <c r="E208" s="236" t="s">
        <v>50</v>
      </c>
      <c r="F208" s="175">
        <f>IFERROR(VLOOKUP(E208,Data!$G$23:$H$196,2,FALSE),0)</f>
        <v>35271.121968320003</v>
      </c>
      <c r="G208" s="274">
        <f>IF(IFERROR(VLOOKUP(E208,Data!$O$23:$P$196,2,FALSE),0)=0,0,(F208-IFERROR(VLOOKUP(E208,Data!$O$23:$P$196,2,FALSE),0))/ABS(IFERROR(VLOOKUP(E208,Data!$O$23:$P$196,2,FALSE),0)))</f>
        <v>4.0855147946250094E-2</v>
      </c>
      <c r="H208" s="175">
        <f>VLOOKUP(E208,Data!$B$23:$E$400,3,FALSE)</f>
        <v>35571.106306599999</v>
      </c>
      <c r="I208" s="316">
        <f>VLOOKUP(E208,Data!$B$23:$E$400,2,FALSE)</f>
        <v>44523</v>
      </c>
      <c r="J208" s="152"/>
      <c r="M208" s="152"/>
    </row>
    <row r="209" spans="1:13" ht="13.8" x14ac:dyDescent="0.25">
      <c r="A209" s="236" t="s">
        <v>51</v>
      </c>
      <c r="B209" s="236"/>
      <c r="C209" s="175"/>
      <c r="D209" s="175"/>
      <c r="E209" s="236" t="s">
        <v>52</v>
      </c>
      <c r="F209" s="175">
        <f>IFERROR(VLOOKUP(E209,Data!$G$23:$H$196,2,FALSE),0)</f>
        <v>13488.56165422</v>
      </c>
      <c r="G209" s="274">
        <f>IF(IFERROR(VLOOKUP(E209,Data!$O$23:$P$196,2,FALSE),0)=0,0,(F209-IFERROR(VLOOKUP(E209,Data!$O$23:$P$196,2,FALSE),0))/ABS(IFERROR(VLOOKUP(E209,Data!$O$23:$P$196,2,FALSE),0)))</f>
        <v>6.7266203972771868E-3</v>
      </c>
      <c r="H209" s="175">
        <f>VLOOKUP(E209,Data!$B$23:$E$400,3,FALSE)</f>
        <v>13928.648943980001</v>
      </c>
      <c r="I209" s="316">
        <f>VLOOKUP(E209,Data!$B$23:$E$400,2,FALSE)</f>
        <v>44266</v>
      </c>
      <c r="J209" s="152"/>
      <c r="M209" s="152"/>
    </row>
    <row r="210" spans="1:13" ht="13.8" x14ac:dyDescent="0.25">
      <c r="A210" s="236"/>
      <c r="B210" s="236"/>
      <c r="C210" s="175"/>
      <c r="D210" s="175"/>
      <c r="E210" s="236"/>
      <c r="F210" s="175"/>
      <c r="G210" s="175"/>
      <c r="H210" s="175"/>
      <c r="I210" s="316"/>
    </row>
    <row r="211" spans="1:13" ht="13.8" x14ac:dyDescent="0.25">
      <c r="A211" s="315" t="s">
        <v>53</v>
      </c>
      <c r="B211" s="315"/>
      <c r="C211" s="315"/>
      <c r="D211" s="315"/>
      <c r="E211" s="315"/>
      <c r="F211" s="315"/>
      <c r="G211" s="315"/>
      <c r="H211" s="315"/>
      <c r="I211" s="315"/>
    </row>
    <row r="212" spans="1:13" ht="13.8" x14ac:dyDescent="0.25">
      <c r="A212" s="236" t="s">
        <v>54</v>
      </c>
      <c r="B212" s="236"/>
      <c r="C212" s="175"/>
      <c r="D212" s="175"/>
      <c r="E212" s="236" t="s">
        <v>55</v>
      </c>
      <c r="F212" s="175">
        <f>IFERROR(VLOOKUP(E212,Data!$G$23:$H$196,2,FALSE),0)</f>
        <v>64063.817360809997</v>
      </c>
      <c r="G212" s="274">
        <f>IF(IFERROR(VLOOKUP(E212,Data!$O$23:$P$196,2,FALSE),0)=0,0,(F212-IFERROR(VLOOKUP(E212,Data!$O$23:$P$196,2,FALSE),0))/ABS(IFERROR(VLOOKUP(E212,Data!$O$23:$P$196,2,FALSE),0)))</f>
        <v>5.3544756097021251E-2</v>
      </c>
      <c r="H212" s="175">
        <f>VLOOKUP(E212,Data!$B$23:$E$400,3,FALSE)</f>
        <v>64566.393688769997</v>
      </c>
      <c r="I212" s="316">
        <f>VLOOKUP(E212,Data!$B$23:$E$400,2,FALSE)</f>
        <v>44523</v>
      </c>
    </row>
    <row r="213" spans="1:13" ht="13.8" x14ac:dyDescent="0.25">
      <c r="A213" s="236" t="s">
        <v>56</v>
      </c>
      <c r="B213" s="236"/>
      <c r="C213" s="175"/>
      <c r="D213" s="175"/>
      <c r="E213" s="236" t="s">
        <v>57</v>
      </c>
      <c r="F213" s="175">
        <f>IFERROR(VLOOKUP(E213,Data!$G$23:$H$196,2,FALSE),0)</f>
        <v>32731.81072351</v>
      </c>
      <c r="G213" s="274">
        <f>IF(IFERROR(VLOOKUP(E213,Data!$O$23:$P$196,2,FALSE),0)=0,0,(F213-IFERROR(VLOOKUP(E213,Data!$O$23:$P$196,2,FALSE),0))/ABS(IFERROR(VLOOKUP(E213,Data!$O$23:$P$196,2,FALSE),0)))</f>
        <v>4.3351208831818283E-2</v>
      </c>
      <c r="H213" s="175">
        <f>VLOOKUP(E213,Data!$B$23:$E$400,3,FALSE)</f>
        <v>33050.260639150001</v>
      </c>
      <c r="I213" s="316">
        <f>VLOOKUP(E213,Data!$B$23:$E$400,2,FALSE)</f>
        <v>44523</v>
      </c>
      <c r="J213" s="152"/>
      <c r="M213" s="152"/>
    </row>
    <row r="214" spans="1:13" ht="13.8" x14ac:dyDescent="0.25">
      <c r="A214" s="236" t="s">
        <v>58</v>
      </c>
      <c r="B214" s="236"/>
      <c r="C214" s="175"/>
      <c r="D214" s="175"/>
      <c r="E214" s="236" t="s">
        <v>59</v>
      </c>
      <c r="F214" s="175">
        <f>IFERROR(VLOOKUP(E214,Data!$G$23:$H$196,2,FALSE),0)</f>
        <v>12090.82346519</v>
      </c>
      <c r="G214" s="274">
        <f>IF(IFERROR(VLOOKUP(E214,Data!$O$23:$P$196,2,FALSE),0)=0,0,(F214-IFERROR(VLOOKUP(E214,Data!$O$23:$P$196,2,FALSE),0))/ABS(IFERROR(VLOOKUP(E214,Data!$O$23:$P$196,2,FALSE),0)))</f>
        <v>9.2884181032536171E-3</v>
      </c>
      <c r="H214" s="175">
        <f>VLOOKUP(E214,Data!$B$23:$E$400,3,FALSE)</f>
        <v>12908.477512449999</v>
      </c>
      <c r="I214" s="316">
        <f>VLOOKUP(E214,Data!$B$23:$E$400,2,FALSE)</f>
        <v>44266</v>
      </c>
      <c r="J214" s="152"/>
      <c r="M214" s="152"/>
    </row>
    <row r="215" spans="1:13" ht="13.8" x14ac:dyDescent="0.25">
      <c r="A215" s="236" t="s">
        <v>162</v>
      </c>
      <c r="B215" s="236"/>
      <c r="C215" s="175"/>
      <c r="D215" s="175"/>
      <c r="E215" s="236" t="s">
        <v>60</v>
      </c>
      <c r="F215" s="175">
        <f>IFERROR(VLOOKUP(E215,Data!$G$23:$H$196,2,FALSE),0)</f>
        <v>67251.210166119999</v>
      </c>
      <c r="G215" s="274">
        <f>IF(IFERROR(VLOOKUP(E215,Data!$O$23:$P$196,2,FALSE),0)=0,0,(F215-IFERROR(VLOOKUP(E215,Data!$O$23:$P$196,2,FALSE),0))/ABS(IFERROR(VLOOKUP(E215,Data!$O$23:$P$196,2,FALSE),0)))</f>
        <v>6.7655382582373122E-2</v>
      </c>
      <c r="H215" s="175">
        <f>VLOOKUP(E215,Data!$B$23:$E$400,3,FALSE)</f>
        <v>77308.45</v>
      </c>
      <c r="I215" s="316">
        <f>VLOOKUP(E215,Data!$B$23:$E$400,2,FALSE)</f>
        <v>39590</v>
      </c>
      <c r="J215" s="152"/>
      <c r="M215" s="152"/>
    </row>
    <row r="216" spans="1:13" ht="13.8" x14ac:dyDescent="0.25">
      <c r="A216" s="236" t="s">
        <v>61</v>
      </c>
      <c r="B216" s="236"/>
      <c r="C216" s="175"/>
      <c r="D216" s="175"/>
      <c r="E216" s="236" t="s">
        <v>62</v>
      </c>
      <c r="F216" s="175">
        <f>IFERROR(VLOOKUP(E216,Data!$G$23:$H$196,2,FALSE),0)</f>
        <v>0</v>
      </c>
      <c r="G216" s="274">
        <f>IF(IFERROR(VLOOKUP(E216,Data!$O$23:$P$196,2,FALSE),0)=0,0,(F216-IFERROR(VLOOKUP(E216,Data!$O$23:$P$196,2,FALSE),0))/ABS(IFERROR(VLOOKUP(E216,Data!$O$23:$P$196,2,FALSE),0)))</f>
        <v>0</v>
      </c>
      <c r="H216" s="175">
        <f>VLOOKUP(E216,Data!$B$23:$E$400,3,FALSE)</f>
        <v>6662.4654347699998</v>
      </c>
      <c r="I216" s="316">
        <f>VLOOKUP(E216,Data!$B$23:$E$400,2,FALSE)</f>
        <v>44039</v>
      </c>
      <c r="J216" s="152"/>
      <c r="M216" s="152"/>
    </row>
    <row r="217" spans="1:13" ht="13.8" x14ac:dyDescent="0.25">
      <c r="A217" s="236" t="s">
        <v>63</v>
      </c>
      <c r="B217" s="236"/>
      <c r="C217" s="175"/>
      <c r="D217" s="175"/>
      <c r="E217" s="236" t="s">
        <v>64</v>
      </c>
      <c r="F217" s="175">
        <f>IFERROR(VLOOKUP(E217,Data!$G$23:$H$196,2,FALSE),0)</f>
        <v>93123.171694069999</v>
      </c>
      <c r="G217" s="274">
        <f>IF(IFERROR(VLOOKUP(E217,Data!$O$23:$P$196,2,FALSE),0)=0,0,(F217-IFERROR(VLOOKUP(E217,Data!$O$23:$P$196,2,FALSE),0))/ABS(IFERROR(VLOOKUP(E217,Data!$O$23:$P$196,2,FALSE),0)))</f>
        <v>6.4390986076331772E-2</v>
      </c>
      <c r="H217" s="175">
        <f>VLOOKUP(E217,Data!$B$23:$E$400,3,FALSE)</f>
        <v>95652.473623790007</v>
      </c>
      <c r="I217" s="316">
        <f>VLOOKUP(E217,Data!$B$23:$E$400,2,FALSE)</f>
        <v>44516</v>
      </c>
      <c r="J217" s="152"/>
      <c r="M217" s="152"/>
    </row>
    <row r="218" spans="1:13" ht="13.8" x14ac:dyDescent="0.25">
      <c r="A218" s="236" t="s">
        <v>65</v>
      </c>
      <c r="B218" s="236"/>
      <c r="C218" s="175"/>
      <c r="D218" s="175"/>
      <c r="E218" s="236" t="s">
        <v>66</v>
      </c>
      <c r="F218" s="175">
        <f>IFERROR(VLOOKUP(E218,Data!$G$23:$H$196,2,FALSE),0)</f>
        <v>13591.20469239</v>
      </c>
      <c r="G218" s="274">
        <f>IF(IFERROR(VLOOKUP(E218,Data!$O$23:$P$196,2,FALSE),0)=0,0,(F218-IFERROR(VLOOKUP(E218,Data!$O$23:$P$196,2,FALSE),0))/ABS(IFERROR(VLOOKUP(E218,Data!$O$23:$P$196,2,FALSE),0)))</f>
        <v>-2.61484787400817E-2</v>
      </c>
      <c r="H218" s="175">
        <f>VLOOKUP(E218,Data!$B$23:$E$400,3,FALSE)</f>
        <v>18847.577311370002</v>
      </c>
      <c r="I218" s="316">
        <f>VLOOKUP(E218,Data!$B$23:$E$400,2,FALSE)</f>
        <v>43165</v>
      </c>
      <c r="J218" s="152"/>
      <c r="M218" s="152"/>
    </row>
    <row r="219" spans="1:13" ht="13.8" x14ac:dyDescent="0.25">
      <c r="A219" s="236" t="s">
        <v>67</v>
      </c>
      <c r="B219" s="236"/>
      <c r="C219" s="175"/>
      <c r="D219" s="175"/>
      <c r="E219" s="236" t="s">
        <v>68</v>
      </c>
      <c r="F219" s="175">
        <f>IFERROR(VLOOKUP(E219,Data!$G$23:$H$196,2,FALSE),0)</f>
        <v>89014.914157480001</v>
      </c>
      <c r="G219" s="274">
        <f>IF(IFERROR(VLOOKUP(E219,Data!$O$23:$P$196,2,FALSE),0)=0,0,(F219-IFERROR(VLOOKUP(E219,Data!$O$23:$P$196,2,FALSE),0))/ABS(IFERROR(VLOOKUP(E219,Data!$O$23:$P$196,2,FALSE),0)))</f>
        <v>4.584774840015917E-2</v>
      </c>
      <c r="H219" s="175">
        <f>VLOOKUP(E219,Data!$B$23:$E$400,3,FALSE)</f>
        <v>91503.984750909993</v>
      </c>
      <c r="I219" s="316">
        <f>VLOOKUP(E219,Data!$B$23:$E$400,2,FALSE)</f>
        <v>44518</v>
      </c>
      <c r="J219" s="152"/>
      <c r="M219" s="152"/>
    </row>
    <row r="220" spans="1:13" ht="13.8" x14ac:dyDescent="0.25">
      <c r="A220" s="236"/>
      <c r="B220" s="236"/>
      <c r="C220" s="175"/>
      <c r="D220" s="175"/>
      <c r="E220" s="236"/>
      <c r="F220" s="175"/>
      <c r="G220" s="175"/>
      <c r="H220" s="175"/>
      <c r="I220" s="316"/>
    </row>
    <row r="221" spans="1:13" ht="13.8" x14ac:dyDescent="0.25">
      <c r="A221" s="315" t="s">
        <v>69</v>
      </c>
      <c r="B221" s="315"/>
      <c r="C221" s="315"/>
      <c r="D221" s="315"/>
      <c r="E221" s="315"/>
      <c r="F221" s="315"/>
      <c r="G221" s="315"/>
      <c r="H221" s="315"/>
      <c r="I221" s="315"/>
    </row>
    <row r="222" spans="1:13" s="155" customFormat="1" ht="13.8" x14ac:dyDescent="0.25">
      <c r="A222" s="292" t="s">
        <v>510</v>
      </c>
      <c r="B222" s="292"/>
      <c r="C222" s="176"/>
      <c r="D222" s="176"/>
      <c r="E222" s="292" t="s">
        <v>511</v>
      </c>
      <c r="F222" s="176">
        <f>IFERROR(VLOOKUP(E222,Data!$G$23:$H$196,2,FALSE),0)</f>
        <v>22127.760742729999</v>
      </c>
      <c r="G222" s="317">
        <f>IF(IFERROR(VLOOKUP(E222,Data!$O$23:$P$196,2,FALSE),0)=0,0,(F222-IFERROR(VLOOKUP(E222,Data!$O$23:$P$196,2,FALSE),0))/ABS(IFERROR(VLOOKUP(E222,Data!$O$23:$P$196,2,FALSE),0)))</f>
        <v>-6.9740504458684752E-2</v>
      </c>
      <c r="H222" s="176">
        <f>VLOOKUP(E222,Data!$B$23:$E$400,3,FALSE)</f>
        <v>26905.444889729999</v>
      </c>
      <c r="I222" s="318">
        <f>VLOOKUP(E222,Data!$B$23:$E$400,2,FALSE)</f>
        <v>44475</v>
      </c>
      <c r="K222" s="168"/>
      <c r="L222" s="168"/>
    </row>
    <row r="223" spans="1:13" ht="13.8" x14ac:dyDescent="0.25">
      <c r="A223" s="236" t="s">
        <v>71</v>
      </c>
      <c r="B223" s="236"/>
      <c r="C223" s="175"/>
      <c r="D223" s="175"/>
      <c r="E223" s="236" t="s">
        <v>512</v>
      </c>
      <c r="F223" s="175">
        <f>IFERROR(VLOOKUP(E223,Data!$G$23:$H$196,2,FALSE),0)</f>
        <v>48397.154210070003</v>
      </c>
      <c r="G223" s="274">
        <f>IF(IFERROR(VLOOKUP(E223,Data!$O$23:$P$196,2,FALSE),0)=0,0,(F223-IFERROR(VLOOKUP(E223,Data!$O$23:$P$196,2,FALSE),0))/ABS(IFERROR(VLOOKUP(E223,Data!$O$23:$P$196,2,FALSE),0)))</f>
        <v>6.8300185322014081E-2</v>
      </c>
      <c r="H223" s="176">
        <f>VLOOKUP(E223,Data!$B$23:$E$400,3,FALSE)</f>
        <v>51940.636278600003</v>
      </c>
      <c r="I223" s="353">
        <f>VLOOKUP(E223,Data!$B$23:$E$400,2,FALSE)</f>
        <v>44326</v>
      </c>
    </row>
    <row r="224" spans="1:13" ht="13.8" x14ac:dyDescent="0.25">
      <c r="A224" s="236" t="s">
        <v>73</v>
      </c>
      <c r="B224" s="236"/>
      <c r="C224" s="175"/>
      <c r="D224" s="175"/>
      <c r="E224" s="236" t="s">
        <v>513</v>
      </c>
      <c r="F224" s="175">
        <f>IFERROR(VLOOKUP(E224,Data!$G$23:$H$196,2,FALSE),0)</f>
        <v>36926.573819069999</v>
      </c>
      <c r="G224" s="274">
        <f>IF(IFERROR(VLOOKUP(E224,Data!$O$23:$P$196,2,FALSE),0)=0,0,(F224-IFERROR(VLOOKUP(E224,Data!$O$23:$P$196,2,FALSE),0))/ABS(IFERROR(VLOOKUP(E224,Data!$O$23:$P$196,2,FALSE),0)))</f>
        <v>-1.9345869642867507E-2</v>
      </c>
      <c r="H224" s="176">
        <f>VLOOKUP(E224,Data!$B$23:$E$400,3,FALSE)</f>
        <v>39509.158679679997</v>
      </c>
      <c r="I224" s="353">
        <f>VLOOKUP(E224,Data!$B$23:$E$400,2,FALSE)</f>
        <v>44426</v>
      </c>
    </row>
    <row r="225" spans="1:9" ht="13.8" x14ac:dyDescent="0.25">
      <c r="A225" s="236" t="s">
        <v>514</v>
      </c>
      <c r="B225" s="236"/>
      <c r="C225" s="175"/>
      <c r="D225" s="175"/>
      <c r="E225" s="236" t="s">
        <v>515</v>
      </c>
      <c r="F225" s="175">
        <f>IFERROR(VLOOKUP(E225,Data!$G$23:$H$196,2,FALSE),0)</f>
        <v>33007.299322270002</v>
      </c>
      <c r="G225" s="274">
        <f>IF(IFERROR(VLOOKUP(E225,Data!$O$23:$P$196,2,FALSE),0)=0,0,(F225-IFERROR(VLOOKUP(E225,Data!$O$23:$P$196,2,FALSE),0))/ABS(IFERROR(VLOOKUP(E225,Data!$O$23:$P$196,2,FALSE),0)))</f>
        <v>0.18973132048018809</v>
      </c>
      <c r="H225" s="176">
        <f>VLOOKUP(E225,Data!$B$23:$E$400,3,FALSE)</f>
        <v>33702.839527670003</v>
      </c>
      <c r="I225" s="353">
        <f>VLOOKUP(E225,Data!$B$23:$E$400,2,FALSE)</f>
        <v>44529</v>
      </c>
    </row>
    <row r="226" spans="1:9" ht="13.8" x14ac:dyDescent="0.25">
      <c r="A226" s="236" t="s">
        <v>516</v>
      </c>
      <c r="B226" s="236"/>
      <c r="C226" s="175"/>
      <c r="D226" s="175"/>
      <c r="E226" s="236" t="s">
        <v>517</v>
      </c>
      <c r="F226" s="175">
        <f>IFERROR(VLOOKUP(E226,Data!$G$23:$H$196,2,FALSE),0)</f>
        <v>71466.085693779998</v>
      </c>
      <c r="G226" s="274">
        <f>IF(IFERROR(VLOOKUP(E226,Data!$O$23:$P$196,2,FALSE),0)=0,0,(F226-IFERROR(VLOOKUP(E226,Data!$O$23:$P$196,2,FALSE),0))/ABS(IFERROR(VLOOKUP(E226,Data!$O$23:$P$196,2,FALSE),0)))</f>
        <v>-1.6246341249333895E-2</v>
      </c>
      <c r="H226" s="176">
        <f>VLOOKUP(E226,Data!$B$23:$E$400,3,FALSE)</f>
        <v>73903.513079380005</v>
      </c>
      <c r="I226" s="353">
        <f>VLOOKUP(E226,Data!$B$23:$E$400,2,FALSE)</f>
        <v>44503</v>
      </c>
    </row>
    <row r="227" spans="1:9" ht="13.8" x14ac:dyDescent="0.25">
      <c r="A227" s="236" t="s">
        <v>77</v>
      </c>
      <c r="B227" s="236"/>
      <c r="C227" s="175"/>
      <c r="D227" s="175"/>
      <c r="E227" s="236" t="s">
        <v>518</v>
      </c>
      <c r="F227" s="175">
        <f>IFERROR(VLOOKUP(E227,Data!$G$23:$H$196,2,FALSE),0)</f>
        <v>34930.662307090002</v>
      </c>
      <c r="G227" s="274">
        <f>IF(IFERROR(VLOOKUP(E227,Data!$O$23:$P$196,2,FALSE),0)=0,0,(F227-IFERROR(VLOOKUP(E227,Data!$O$23:$P$196,2,FALSE),0))/ABS(IFERROR(VLOOKUP(E227,Data!$O$23:$P$196,2,FALSE),0)))</f>
        <v>-2.6315892376757098E-2</v>
      </c>
      <c r="H227" s="176">
        <f>VLOOKUP(E227,Data!$B$23:$E$400,3,FALSE)</f>
        <v>37315.4579275</v>
      </c>
      <c r="I227" s="353">
        <f>VLOOKUP(E227,Data!$B$23:$E$400,2,FALSE)</f>
        <v>44468</v>
      </c>
    </row>
    <row r="228" spans="1:9" ht="13.8" x14ac:dyDescent="0.25">
      <c r="A228" s="236" t="s">
        <v>79</v>
      </c>
      <c r="B228" s="236"/>
      <c r="C228" s="175"/>
      <c r="D228" s="175"/>
      <c r="E228" s="236" t="s">
        <v>519</v>
      </c>
      <c r="F228" s="175">
        <f>IFERROR(VLOOKUP(E228,Data!$G$23:$H$196,2,FALSE),0)</f>
        <v>32986.75135454</v>
      </c>
      <c r="G228" s="274">
        <f>IF(IFERROR(VLOOKUP(E228,Data!$O$23:$P$196,2,FALSE),0)=0,0,(F228-IFERROR(VLOOKUP(E228,Data!$O$23:$P$196,2,FALSE),0))/ABS(IFERROR(VLOOKUP(E228,Data!$O$23:$P$196,2,FALSE),0)))</f>
        <v>-4.050461967695184E-2</v>
      </c>
      <c r="H228" s="176">
        <f>VLOOKUP(E228,Data!$B$23:$E$400,3,FALSE)</f>
        <v>49244.486816149998</v>
      </c>
      <c r="I228" s="353">
        <f>VLOOKUP(E228,Data!$B$23:$E$400,2,FALSE)</f>
        <v>44287</v>
      </c>
    </row>
    <row r="229" spans="1:9" ht="13.8" x14ac:dyDescent="0.25">
      <c r="A229" s="236" t="s">
        <v>81</v>
      </c>
      <c r="B229" s="236"/>
      <c r="C229" s="175"/>
      <c r="D229" s="175"/>
      <c r="E229" s="236" t="s">
        <v>520</v>
      </c>
      <c r="F229" s="175">
        <f>IFERROR(VLOOKUP(E229,Data!$G$23:$H$196,2,FALSE),0)</f>
        <v>7301.65172325</v>
      </c>
      <c r="G229" s="274">
        <f>IF(IFERROR(VLOOKUP(E229,Data!$O$23:$P$196,2,FALSE),0)=0,0,(F229-IFERROR(VLOOKUP(E229,Data!$O$23:$P$196,2,FALSE),0))/ABS(IFERROR(VLOOKUP(E229,Data!$O$23:$P$196,2,FALSE),0)))</f>
        <v>0.11001902618729556</v>
      </c>
      <c r="H229" s="176">
        <f>VLOOKUP(E229,Data!$B$23:$E$400,3,FALSE)</f>
        <v>7541.0180898600001</v>
      </c>
      <c r="I229" s="353">
        <f>VLOOKUP(E229,Data!$B$23:$E$400,2,FALSE)</f>
        <v>44508</v>
      </c>
    </row>
    <row r="230" spans="1:9" ht="13.8" x14ac:dyDescent="0.25">
      <c r="A230" s="236" t="s">
        <v>83</v>
      </c>
      <c r="B230" s="236"/>
      <c r="C230" s="175"/>
      <c r="D230" s="175"/>
      <c r="E230" s="236" t="s">
        <v>521</v>
      </c>
      <c r="F230" s="175">
        <f>IFERROR(VLOOKUP(E230,Data!$G$23:$H$196,2,FALSE),0)</f>
        <v>5399.7643567599998</v>
      </c>
      <c r="G230" s="274">
        <f>IF(IFERROR(VLOOKUP(E230,Data!$O$23:$P$196,2,FALSE),0)=0,0,(F230-IFERROR(VLOOKUP(E230,Data!$O$23:$P$196,2,FALSE),0))/ABS(IFERROR(VLOOKUP(E230,Data!$O$23:$P$196,2,FALSE),0)))</f>
        <v>-5.4613192126171176E-2</v>
      </c>
      <c r="H230" s="176">
        <f>VLOOKUP(E230,Data!$B$23:$E$400,3,FALSE)</f>
        <v>5917.4404180399997</v>
      </c>
      <c r="I230" s="353">
        <f>VLOOKUP(E230,Data!$B$23:$E$400,2,FALSE)</f>
        <v>44467</v>
      </c>
    </row>
    <row r="231" spans="1:9" ht="13.8" x14ac:dyDescent="0.25">
      <c r="A231" s="236"/>
      <c r="B231" s="236"/>
      <c r="C231" s="175"/>
      <c r="D231" s="175"/>
      <c r="E231" s="236"/>
      <c r="F231" s="175"/>
      <c r="G231" s="175"/>
      <c r="H231" s="175"/>
      <c r="I231" s="316"/>
    </row>
    <row r="232" spans="1:9" ht="13.8" x14ac:dyDescent="0.25">
      <c r="A232" s="315" t="s">
        <v>85</v>
      </c>
      <c r="B232" s="315"/>
      <c r="C232" s="315"/>
      <c r="D232" s="315"/>
      <c r="E232" s="315"/>
      <c r="F232" s="315"/>
      <c r="G232" s="315"/>
      <c r="H232" s="315"/>
      <c r="I232" s="315"/>
    </row>
    <row r="233" spans="1:9" ht="13.8" x14ac:dyDescent="0.25">
      <c r="A233" s="236" t="s">
        <v>508</v>
      </c>
      <c r="B233" s="236"/>
      <c r="C233" s="175"/>
      <c r="D233" s="175"/>
      <c r="E233" s="236" t="s">
        <v>245</v>
      </c>
      <c r="F233" s="175">
        <f>IFERROR(VLOOKUP(E233,Data!$G$23:$H$196,2,FALSE),0)</f>
        <v>12483.995419110001</v>
      </c>
      <c r="G233" s="274">
        <f>IF(IFERROR(VLOOKUP(E233,Data!$O$23:$P$196,2,FALSE),0)=0,0,(F233-IFERROR(VLOOKUP(E233,Data!$O$23:$P$196,2,FALSE),0))/ABS(IFERROR(VLOOKUP(E233,Data!$O$23:$P$196,2,FALSE),0)))</f>
        <v>1.0919759581920915E-2</v>
      </c>
      <c r="H233" s="175">
        <f>VLOOKUP(E233,Data!$B$23:$E$400,3,FALSE)</f>
        <v>13118.115906380001</v>
      </c>
      <c r="I233" s="316">
        <f>VLOOKUP(E233,Data!$B$23:$E$400,2,FALSE)</f>
        <v>44266</v>
      </c>
    </row>
    <row r="234" spans="1:9" ht="13.8" x14ac:dyDescent="0.25">
      <c r="A234" s="236" t="s">
        <v>87</v>
      </c>
      <c r="B234" s="236"/>
      <c r="C234" s="175"/>
      <c r="D234" s="175"/>
      <c r="E234" s="236" t="s">
        <v>88</v>
      </c>
      <c r="F234" s="175">
        <f>IFERROR(VLOOKUP(E234,Data!$G$23:$H$196,2,FALSE),0)</f>
        <v>4596.4388715499999</v>
      </c>
      <c r="G234" s="274">
        <f>IF(IFERROR(VLOOKUP(E234,Data!$O$23:$P$196,2,FALSE),0)=0,0,(F234-IFERROR(VLOOKUP(E234,Data!$O$23:$P$196,2,FALSE),0))/ABS(IFERROR(VLOOKUP(E234,Data!$O$23:$P$196,2,FALSE),0)))</f>
        <v>4.2336056206306566E-2</v>
      </c>
      <c r="H234" s="175">
        <f>VLOOKUP(E234,Data!$B$23:$E$400,3,FALSE)</f>
        <v>4835.2434641700002</v>
      </c>
      <c r="I234" s="316">
        <f>VLOOKUP(E234,Data!$B$23:$E$400,2,FALSE)</f>
        <v>44406</v>
      </c>
    </row>
    <row r="235" spans="1:9" ht="13.8" x14ac:dyDescent="0.25">
      <c r="A235" s="236" t="s">
        <v>166</v>
      </c>
      <c r="B235" s="236"/>
      <c r="C235" s="175"/>
      <c r="D235" s="175"/>
      <c r="E235" s="236" t="s">
        <v>509</v>
      </c>
      <c r="F235" s="175">
        <f>IFERROR(VLOOKUP(E235,Data!$G$23:$H$196,2,FALSE),0)</f>
        <v>373.21048092000001</v>
      </c>
      <c r="G235" s="274">
        <f>IF(IFERROR(VLOOKUP(E235,Data!$O$23:$P$196,2,FALSE),0)=0,0,(F235-IFERROR(VLOOKUP(E235,Data!$O$23:$P$196,2,FALSE),0))/ABS(IFERROR(VLOOKUP(E235,Data!$O$23:$P$196,2,FALSE),0)))</f>
        <v>3.1486175452695858E-2</v>
      </c>
      <c r="H235" s="175">
        <f>VLOOKUP(E235,Data!$B$23:$E$400,3,FALSE)</f>
        <v>385.33127345000003</v>
      </c>
      <c r="I235" s="316">
        <f>VLOOKUP(E235,Data!$B$23:$E$400,2,FALSE)</f>
        <v>44439</v>
      </c>
    </row>
    <row r="236" spans="1:9" ht="13.8" x14ac:dyDescent="0.25">
      <c r="A236" s="236" t="s">
        <v>89</v>
      </c>
      <c r="B236" s="236"/>
      <c r="C236" s="175"/>
      <c r="D236" s="175"/>
      <c r="E236" s="236" t="s">
        <v>90</v>
      </c>
      <c r="F236" s="175">
        <f>IFERROR(VLOOKUP(E236,Data!$G$23:$H$196,2,FALSE),0)</f>
        <v>323.43762247000001</v>
      </c>
      <c r="G236" s="274">
        <f>IF(IFERROR(VLOOKUP(E236,Data!$O$23:$P$196,2,FALSE),0)=0,0,(F236-IFERROR(VLOOKUP(E236,Data!$O$23:$P$196,2,FALSE),0))/ABS(IFERROR(VLOOKUP(E236,Data!$O$23:$P$196,2,FALSE),0)))</f>
        <v>2.1079390077435176E-2</v>
      </c>
      <c r="H236" s="175">
        <f>VLOOKUP(E236,Data!$B$23:$E$400,3,FALSE)</f>
        <v>694.66658584000004</v>
      </c>
      <c r="I236" s="316">
        <f>VLOOKUP(E236,Data!$B$23:$E$400,2,FALSE)</f>
        <v>43098</v>
      </c>
    </row>
    <row r="237" spans="1:9" ht="13.8" x14ac:dyDescent="0.25">
      <c r="A237" s="236" t="s">
        <v>91</v>
      </c>
      <c r="B237" s="236"/>
      <c r="C237" s="175"/>
      <c r="D237" s="175"/>
      <c r="E237" s="236" t="s">
        <v>92</v>
      </c>
      <c r="F237" s="175">
        <f>IFERROR(VLOOKUP(E237,Data!$G$23:$H$196,2,FALSE),0)</f>
        <v>241.04257608</v>
      </c>
      <c r="G237" s="274">
        <f>IF(IFERROR(VLOOKUP(E237,Data!$O$23:$P$196,2,FALSE),0)=0,0,(F237-IFERROR(VLOOKUP(E237,Data!$O$23:$P$196,2,FALSE),0))/ABS(IFERROR(VLOOKUP(E237,Data!$O$23:$P$196,2,FALSE),0)))</f>
        <v>2.1406795362616433E-2</v>
      </c>
      <c r="H237" s="175">
        <f>VLOOKUP(E237,Data!$B$23:$E$400,3,FALSE)</f>
        <v>597.8558587</v>
      </c>
      <c r="I237" s="316">
        <f>VLOOKUP(E237,Data!$B$23:$E$400,2,FALSE)</f>
        <v>42305</v>
      </c>
    </row>
    <row r="238" spans="1:9" ht="13.8" x14ac:dyDescent="0.25">
      <c r="A238" s="236" t="s">
        <v>93</v>
      </c>
      <c r="B238" s="236"/>
      <c r="C238" s="175"/>
      <c r="D238" s="175"/>
      <c r="E238" s="236" t="s">
        <v>94</v>
      </c>
      <c r="F238" s="175">
        <f>IFERROR(VLOOKUP(E238,Data!$G$23:$H$196,2,FALSE),0)</f>
        <v>38643.709525290004</v>
      </c>
      <c r="G238" s="274">
        <f>IF(IFERROR(VLOOKUP(E238,Data!$O$23:$P$196,2,FALSE),0)=0,0,(F238-IFERROR(VLOOKUP(E238,Data!$O$23:$P$196,2,FALSE),0))/ABS(IFERROR(VLOOKUP(E238,Data!$O$23:$P$196,2,FALSE),0)))</f>
        <v>6.5281652411499594E-2</v>
      </c>
      <c r="H238" s="175">
        <f>VLOOKUP(E238,Data!$B$23:$E$400,3,FALSE)</f>
        <v>42495.61</v>
      </c>
      <c r="I238" s="316">
        <f>VLOOKUP(E238,Data!$B$23:$E$400,2,FALSE)</f>
        <v>39590</v>
      </c>
    </row>
    <row r="239" spans="1:9" ht="13.8" x14ac:dyDescent="0.25">
      <c r="A239" s="236" t="s">
        <v>95</v>
      </c>
      <c r="B239" s="236"/>
      <c r="C239" s="175"/>
      <c r="D239" s="175"/>
      <c r="E239" s="236" t="s">
        <v>96</v>
      </c>
      <c r="F239" s="175">
        <f>IFERROR(VLOOKUP(E239,Data!$G$23:$H$196,2,FALSE),0)</f>
        <v>405.09991030999998</v>
      </c>
      <c r="G239" s="274">
        <f>IF(IFERROR(VLOOKUP(E239,Data!$O$23:$P$196,2,FALSE),0)=0,0,(F239-IFERROR(VLOOKUP(E239,Data!$O$23:$P$196,2,FALSE),0))/ABS(IFERROR(VLOOKUP(E239,Data!$O$23:$P$196,2,FALSE),0)))</f>
        <v>1.9111847983786998E-2</v>
      </c>
      <c r="H239" s="175">
        <f>VLOOKUP(E239,Data!$B$23:$E$400,3,FALSE)</f>
        <v>431.46959335999998</v>
      </c>
      <c r="I239" s="316">
        <f>VLOOKUP(E239,Data!$B$23:$E$400,2,FALSE)</f>
        <v>42129</v>
      </c>
    </row>
    <row r="240" spans="1:9" ht="13.8" x14ac:dyDescent="0.25">
      <c r="A240" s="236" t="s">
        <v>97</v>
      </c>
      <c r="B240" s="236"/>
      <c r="C240" s="175"/>
      <c r="D240" s="175"/>
      <c r="E240" s="236" t="s">
        <v>98</v>
      </c>
      <c r="F240" s="175">
        <f>IFERROR(VLOOKUP(E240,Data!$G$23:$H$196,2,FALSE),0)</f>
        <v>902.29694013999995</v>
      </c>
      <c r="G240" s="274">
        <f>IF(IFERROR(VLOOKUP(E240,Data!$O$23:$P$196,2,FALSE),0)=0,0,(F240-IFERROR(VLOOKUP(E240,Data!$O$23:$P$196,2,FALSE),0))/ABS(IFERROR(VLOOKUP(E240,Data!$O$23:$P$196,2,FALSE),0)))</f>
        <v>5.5503349095870999E-2</v>
      </c>
      <c r="H240" s="175">
        <f>VLOOKUP(E240,Data!$B$23:$E$400,3,FALSE)</f>
        <v>957.07193463999999</v>
      </c>
      <c r="I240" s="316">
        <f>VLOOKUP(E240,Data!$B$23:$E$400,2,FALSE)</f>
        <v>44257</v>
      </c>
    </row>
    <row r="241" spans="1:9" ht="13.8" x14ac:dyDescent="0.25">
      <c r="A241" s="236"/>
      <c r="B241" s="236"/>
      <c r="C241" s="175"/>
      <c r="D241" s="175"/>
      <c r="E241" s="236"/>
      <c r="F241" s="175"/>
      <c r="G241" s="175"/>
      <c r="H241" s="175"/>
      <c r="I241" s="316"/>
    </row>
    <row r="242" spans="1:9" ht="13.8" x14ac:dyDescent="0.25">
      <c r="A242" s="315" t="s">
        <v>101</v>
      </c>
      <c r="B242" s="315"/>
      <c r="C242" s="315"/>
      <c r="D242" s="315"/>
      <c r="E242" s="315"/>
      <c r="F242" s="315"/>
      <c r="G242" s="315"/>
      <c r="H242" s="315"/>
      <c r="I242" s="315"/>
    </row>
    <row r="243" spans="1:9" ht="13.8" x14ac:dyDescent="0.25">
      <c r="A243" s="236" t="s">
        <v>104</v>
      </c>
      <c r="B243" s="236"/>
      <c r="C243" s="175"/>
      <c r="D243" s="175"/>
      <c r="E243" s="236" t="s">
        <v>105</v>
      </c>
      <c r="F243" s="175">
        <f>IFERROR(VLOOKUP(E243,Data!$G$23:$H$196,2,FALSE),0)</f>
        <v>1263.04014512</v>
      </c>
      <c r="G243" s="274">
        <f>IF(IFERROR(VLOOKUP(E243,Data!$O$23:$P$196,2,FALSE),0)=0,0,(F243-IFERROR(VLOOKUP(E243,Data!$O$23:$P$196,2,FALSE),0))/ABS(IFERROR(VLOOKUP(E243,Data!$O$23:$P$196,2,FALSE),0)))</f>
        <v>-5.2331820967241816E-2</v>
      </c>
      <c r="H243" s="175">
        <f>VLOOKUP(E243,Data!$B$23:$E$273,3,FALSE)</f>
        <v>5041.9399999999996</v>
      </c>
      <c r="I243" s="316">
        <f>VLOOKUP(E243,Data!$B$23:$E$273,2,FALSE)</f>
        <v>39400</v>
      </c>
    </row>
    <row r="244" spans="1:9" ht="13.8" x14ac:dyDescent="0.25">
      <c r="A244" s="236"/>
      <c r="B244" s="236"/>
      <c r="C244" s="175"/>
      <c r="D244" s="175"/>
      <c r="E244" s="236"/>
      <c r="F244" s="175"/>
      <c r="G244" s="274"/>
      <c r="H244" s="175"/>
      <c r="I244" s="316"/>
    </row>
    <row r="245" spans="1:9" ht="13.8" x14ac:dyDescent="0.25">
      <c r="A245" s="236"/>
      <c r="B245" s="236"/>
      <c r="C245" s="175"/>
      <c r="D245" s="175"/>
      <c r="E245" s="236"/>
      <c r="F245" s="175"/>
      <c r="G245" s="175"/>
      <c r="H245" s="175"/>
      <c r="I245" s="316"/>
    </row>
    <row r="248" spans="1:9" ht="13.8" x14ac:dyDescent="0.25">
      <c r="A248" s="236"/>
      <c r="B248" s="236"/>
      <c r="C248" s="175"/>
      <c r="D248" s="175"/>
      <c r="E248" s="236"/>
      <c r="F248" s="175"/>
      <c r="G248" s="274"/>
      <c r="H248" s="175"/>
      <c r="I248" s="316"/>
    </row>
    <row r="250" spans="1:9" ht="14.4" thickBot="1" x14ac:dyDescent="0.3">
      <c r="A250" s="277"/>
      <c r="B250" s="277"/>
      <c r="C250" s="174"/>
      <c r="D250" s="174"/>
      <c r="E250" s="174"/>
      <c r="F250" s="319"/>
      <c r="G250" s="277"/>
      <c r="H250" s="277"/>
      <c r="I250" s="277"/>
    </row>
    <row r="251" spans="1:9" ht="13.8" thickTop="1" x14ac:dyDescent="0.25">
      <c r="A251" s="344" t="s">
        <v>499</v>
      </c>
      <c r="D251" s="2"/>
      <c r="E251" s="2"/>
      <c r="F251" s="12"/>
    </row>
    <row r="252" spans="1:9" x14ac:dyDescent="0.25">
      <c r="A252" s="59" t="s">
        <v>106</v>
      </c>
      <c r="D252" s="2"/>
      <c r="E252" s="2"/>
      <c r="F252" s="12"/>
    </row>
    <row r="254" spans="1:9" ht="13.8" thickBot="1" x14ac:dyDescent="0.3"/>
    <row r="255" spans="1:9" ht="25.2" thickBot="1" x14ac:dyDescent="0.45">
      <c r="A255" s="362" t="s">
        <v>502</v>
      </c>
      <c r="B255" s="363"/>
      <c r="C255" s="364"/>
      <c r="D255" s="360"/>
      <c r="E255" s="360"/>
      <c r="F255" s="361"/>
      <c r="G255" s="355"/>
    </row>
    <row r="256" spans="1:9" x14ac:dyDescent="0.25">
      <c r="A256" s="359"/>
      <c r="B256" s="359"/>
      <c r="C256" s="359"/>
      <c r="D256" s="355"/>
      <c r="E256" s="355"/>
      <c r="F256" s="355"/>
      <c r="G256" s="355"/>
    </row>
    <row r="257" spans="1:12" ht="34.799999999999997" x14ac:dyDescent="0.55000000000000004">
      <c r="A257" s="358" t="s">
        <v>503</v>
      </c>
      <c r="B257" s="357"/>
      <c r="C257" s="357"/>
      <c r="D257" s="357"/>
      <c r="E257" s="357"/>
      <c r="F257" s="357"/>
      <c r="G257" s="356"/>
    </row>
    <row r="258" spans="1:12" x14ac:dyDescent="0.25">
      <c r="A258" s="356"/>
      <c r="B258" s="356"/>
      <c r="C258" s="356"/>
      <c r="D258" s="356"/>
      <c r="E258" s="356"/>
      <c r="F258" s="356"/>
      <c r="G258" s="356"/>
    </row>
    <row r="259" spans="1:12" ht="34.799999999999997" x14ac:dyDescent="0.55000000000000004">
      <c r="A259" s="358" t="s">
        <v>504</v>
      </c>
      <c r="B259" s="357"/>
      <c r="C259" s="357"/>
      <c r="D259" s="357"/>
      <c r="E259" s="357"/>
      <c r="F259" s="357"/>
      <c r="G259" s="356"/>
    </row>
    <row r="260" spans="1:12" x14ac:dyDescent="0.25">
      <c r="A260" s="356"/>
      <c r="B260" s="356"/>
      <c r="C260" s="356"/>
      <c r="D260" s="355"/>
      <c r="E260" s="355"/>
      <c r="F260" s="355"/>
      <c r="G260" s="356"/>
    </row>
    <row r="261" spans="1:12" x14ac:dyDescent="0.25">
      <c r="A261" s="397" t="s">
        <v>505</v>
      </c>
      <c r="B261" s="397"/>
      <c r="C261" s="397"/>
      <c r="D261" s="355"/>
      <c r="E261" s="355"/>
      <c r="F261" s="355"/>
      <c r="G261" s="356"/>
    </row>
    <row r="262" spans="1:12" x14ac:dyDescent="0.25">
      <c r="A262" s="397"/>
      <c r="B262" s="397"/>
      <c r="C262" s="397"/>
      <c r="D262" s="356"/>
      <c r="E262" s="356"/>
      <c r="F262" s="356"/>
      <c r="G262" s="356"/>
    </row>
    <row r="270" spans="1:12" s="235" customFormat="1" x14ac:dyDescent="0.25">
      <c r="K270" s="250"/>
      <c r="L270" s="250"/>
    </row>
    <row r="272" spans="1:12" s="235" customFormat="1" x14ac:dyDescent="0.25">
      <c r="K272" s="250"/>
      <c r="L272" s="250"/>
    </row>
    <row r="274" spans="1:12" s="235" customFormat="1" x14ac:dyDescent="0.25">
      <c r="K274" s="250"/>
      <c r="L274" s="250"/>
    </row>
    <row r="275" spans="1:12" s="235" customFormat="1" x14ac:dyDescent="0.25">
      <c r="K275" s="250"/>
      <c r="L275" s="250"/>
    </row>
    <row r="276" spans="1:12" s="235" customFormat="1" x14ac:dyDescent="0.25">
      <c r="K276" s="250"/>
      <c r="L276" s="250"/>
    </row>
    <row r="277" spans="1:12" ht="13.8" x14ac:dyDescent="0.25">
      <c r="A277" s="236"/>
      <c r="B277" s="236"/>
      <c r="C277" s="236"/>
      <c r="D277" s="236"/>
      <c r="E277" s="236"/>
      <c r="F277" s="236"/>
      <c r="G277" s="236"/>
      <c r="H277" s="236"/>
      <c r="I277" s="236"/>
    </row>
    <row r="278" spans="1:12" ht="13.8" x14ac:dyDescent="0.25">
      <c r="A278" s="236"/>
      <c r="B278" s="236"/>
      <c r="C278" s="236"/>
      <c r="D278" s="236"/>
      <c r="E278" s="236"/>
      <c r="F278" s="236"/>
      <c r="G278" s="236"/>
      <c r="H278" s="236"/>
      <c r="I278" s="236"/>
    </row>
    <row r="279" spans="1:12" s="235" customFormat="1" ht="4.5" customHeight="1" x14ac:dyDescent="0.25">
      <c r="A279" s="236"/>
      <c r="B279" s="236"/>
      <c r="C279" s="236"/>
      <c r="D279" s="236"/>
      <c r="E279" s="236"/>
      <c r="F279" s="236"/>
      <c r="G279" s="236"/>
      <c r="H279" s="236"/>
      <c r="I279" s="236"/>
      <c r="K279" s="250"/>
      <c r="L279" s="250"/>
    </row>
    <row r="280" spans="1:12" ht="13.8" x14ac:dyDescent="0.25">
      <c r="B280" s="236"/>
      <c r="C280" s="236"/>
      <c r="D280" s="236"/>
      <c r="E280" s="236"/>
      <c r="F280" s="236"/>
      <c r="G280" s="236"/>
      <c r="H280" s="236"/>
      <c r="I280" s="236"/>
    </row>
    <row r="281" spans="1:12" ht="8.25" customHeight="1" x14ac:dyDescent="0.25">
      <c r="A281" s="386" t="str">
        <f>"Market Profile - "&amp; TEXT($H$3,"MMM")&amp;" "&amp;TEXT($H$3,"YYYY")</f>
        <v>Market Profile - Nov 2021</v>
      </c>
      <c r="B281" s="236"/>
      <c r="C281" s="236"/>
      <c r="D281" s="236"/>
      <c r="E281" s="390" t="s">
        <v>181</v>
      </c>
      <c r="F281" s="390"/>
      <c r="G281" s="390"/>
      <c r="H281" s="390"/>
      <c r="I281" s="390"/>
    </row>
    <row r="282" spans="1:12" ht="10.5" customHeight="1" thickBot="1" x14ac:dyDescent="0.3">
      <c r="A282" s="387"/>
      <c r="B282" s="266"/>
      <c r="C282" s="266"/>
      <c r="D282" s="266"/>
      <c r="E282" s="391"/>
      <c r="F282" s="391"/>
      <c r="G282" s="391"/>
      <c r="H282" s="391"/>
      <c r="I282" s="391"/>
    </row>
    <row r="283" spans="1:12" ht="38.25" customHeight="1" thickBot="1" x14ac:dyDescent="0.3">
      <c r="A283" s="313"/>
      <c r="B283" s="313"/>
      <c r="C283" s="320" t="str">
        <f>TEXT($H$3,"MMM")&amp;" "&amp;TEXT($H$3,"YYYY")</f>
        <v>Nov 2021</v>
      </c>
      <c r="D283" s="313"/>
      <c r="E283" s="320" t="str">
        <f>TEXT(DATE(2000,TEXT(H3,"M")-1,1),"mmm")&amp; " "&amp; TEXT(H3,"YYYY")</f>
        <v>Oct 2021</v>
      </c>
      <c r="F283" s="172" t="s">
        <v>170</v>
      </c>
      <c r="G283" s="313"/>
      <c r="H283" s="321" t="str">
        <f>TEXT($H$3,"MMM")&amp;" "&amp;TEXT($H$3,"YYYY")-1</f>
        <v>Nov 2020</v>
      </c>
      <c r="I283" s="321" t="s">
        <v>171</v>
      </c>
    </row>
    <row r="284" spans="1:12" ht="13.8" x14ac:dyDescent="0.25">
      <c r="A284" s="315" t="s">
        <v>107</v>
      </c>
      <c r="B284" s="315"/>
      <c r="C284" s="315"/>
      <c r="D284" s="315"/>
      <c r="E284" s="315"/>
      <c r="F284" s="315"/>
      <c r="G284" s="315"/>
      <c r="H284" s="315"/>
      <c r="I284" s="322"/>
    </row>
    <row r="285" spans="1:12" x14ac:dyDescent="0.25">
      <c r="A285" s="134" t="s">
        <v>14</v>
      </c>
      <c r="B285" s="235"/>
      <c r="C285" s="235"/>
      <c r="D285" s="235"/>
      <c r="E285" s="235"/>
      <c r="F285" s="135"/>
      <c r="G285" s="235"/>
      <c r="H285" s="235"/>
      <c r="I285" s="171"/>
    </row>
    <row r="286" spans="1:12" x14ac:dyDescent="0.25">
      <c r="A286" s="235" t="s">
        <v>428</v>
      </c>
      <c r="B286" s="235"/>
      <c r="C286" s="3">
        <f>SUMIFS(Data!$AC:$AC,Data!$Z:$Z,MarketProfile!A286,Data!$AE:$AE,"1")</f>
        <v>3654</v>
      </c>
      <c r="D286" s="377">
        <f>SUMIFS(Data!$AQ:$AQ,Data!$AN:$AN,MarketProfile!A286,Data!$AS:$AS,"1")</f>
        <v>1359</v>
      </c>
      <c r="E286" s="377"/>
      <c r="F286" s="171">
        <f>IFERROR(IF(OR(AND(D286="",C286=""),AND(D286=0,C286=0)),"",
IF(OR(D286="",D286=0),1,
IF(OR(D286&lt;&gt;"",D286&lt;&gt;0),(C286-D286)/ABS(D286)))),-1)</f>
        <v>1.6887417218543046</v>
      </c>
      <c r="G286" s="377">
        <f>SUMIFS(Data!$BE:$BE,Data!$BB:$BB,MarketProfile!A286,Data!BG:BG,"1")</f>
        <v>1688</v>
      </c>
      <c r="H286" s="377"/>
      <c r="I286" s="171">
        <f t="shared" ref="I286:I293" si="18">IFERROR(IF(OR(AND(G286="",C286=""),AND(G286=0,C286=0)),"",
IF(OR(G286="",G286=0),1,
IF(OR(G286&lt;&gt;"",G286&lt;&gt;0),(C286-G286)/ABS(G286)))),-1)</f>
        <v>1.1646919431279621</v>
      </c>
      <c r="J286" s="153"/>
    </row>
    <row r="287" spans="1:12" x14ac:dyDescent="0.25">
      <c r="A287" s="235" t="s">
        <v>161</v>
      </c>
      <c r="B287" s="235"/>
      <c r="C287" s="3">
        <f>SUMIFS(Data!$AC:$AC,Data!$Z:$Z,MarketProfile!A287,Data!$AE:$AE,"1")</f>
        <v>3625</v>
      </c>
      <c r="D287" s="377">
        <f>SUMIFS(Data!$AQ:$AQ,Data!$AN:$AN,MarketProfile!A287,Data!$AS:$AS,"1")</f>
        <v>2713</v>
      </c>
      <c r="E287" s="377"/>
      <c r="F287" s="171">
        <f t="shared" ref="F287:F294" si="19">IFERROR(IF(OR(AND(D287="",C287=""),AND(D287=0,C287=0)),"",
IF(OR(D287="",D287=0),1,
IF(OR(D287&lt;&gt;"",D287&lt;&gt;0),(C287-D287)/ABS(D287)))),-1)</f>
        <v>0.3361592333210468</v>
      </c>
      <c r="G287" s="377">
        <f>SUMIFS(Data!$BE:$BE,Data!$BB:$BB,MarketProfile!A287,Data!BG:BG,"1")</f>
        <v>4166</v>
      </c>
      <c r="H287" s="377"/>
      <c r="I287" s="171">
        <f t="shared" si="18"/>
        <v>-0.12986077772443591</v>
      </c>
      <c r="J287" s="153"/>
    </row>
    <row r="288" spans="1:12" x14ac:dyDescent="0.25">
      <c r="A288" s="235" t="s">
        <v>429</v>
      </c>
      <c r="B288" s="235"/>
      <c r="C288" s="3">
        <f>SUMIFS(Data!$AC:$AC,Data!$Z:$Z,MarketProfile!A288,Data!$AE:$AE,"1")</f>
        <v>18220</v>
      </c>
      <c r="D288" s="377">
        <f>SUMIFS(Data!$AQ:$AQ,Data!$AN:$AN,MarketProfile!A288,Data!$AS:$AS,"1")</f>
        <v>9527</v>
      </c>
      <c r="E288" s="377"/>
      <c r="F288" s="171">
        <f t="shared" si="19"/>
        <v>0.91245932612574787</v>
      </c>
      <c r="G288" s="377">
        <f>SUMIFS(Data!$BE:$BE,Data!$BB:$BB,MarketProfile!A288,Data!BG:BG,"1")</f>
        <v>13408</v>
      </c>
      <c r="H288" s="377"/>
      <c r="I288" s="171">
        <f t="shared" si="18"/>
        <v>0.35889021479713606</v>
      </c>
      <c r="J288" s="153"/>
    </row>
    <row r="289" spans="1:10" x14ac:dyDescent="0.25">
      <c r="A289" s="235" t="s">
        <v>126</v>
      </c>
      <c r="B289" s="235"/>
      <c r="C289" s="3">
        <f>SUMIFS(Data!$AC:$AC,Data!$Z:$Z,MarketProfile!A289,Data!$AE:$AE,"1")</f>
        <v>24</v>
      </c>
      <c r="D289" s="377">
        <f>SUMIFS(Data!$AQ:$AQ,Data!$AN:$AN,MarketProfile!A289,Data!$AS:$AS,"1")</f>
        <v>26</v>
      </c>
      <c r="E289" s="377"/>
      <c r="F289" s="171">
        <f t="shared" si="19"/>
        <v>-7.6923076923076927E-2</v>
      </c>
      <c r="G289" s="377">
        <f>SUMIFS(Data!$BE:$BE,Data!$BB:$BB,MarketProfile!A289,Data!BG:BG,"1")</f>
        <v>27</v>
      </c>
      <c r="H289" s="377"/>
      <c r="I289" s="171">
        <f t="shared" si="18"/>
        <v>-0.1111111111111111</v>
      </c>
      <c r="J289" s="153"/>
    </row>
    <row r="290" spans="1:10" x14ac:dyDescent="0.25">
      <c r="A290" s="235" t="s">
        <v>430</v>
      </c>
      <c r="B290" s="235"/>
      <c r="C290" s="3">
        <f>SUMIFS(Data!$AC:$AC,Data!$Z:$Z,MarketProfile!A290,Data!$AE:$AE,"1")</f>
        <v>3796</v>
      </c>
      <c r="D290" s="377">
        <f>SUMIFS(Data!$AQ:$AQ,Data!$AN:$AN,MarketProfile!A290,Data!$AS:$AS,"1")</f>
        <v>2350</v>
      </c>
      <c r="E290" s="377"/>
      <c r="F290" s="171">
        <f t="shared" si="19"/>
        <v>0.61531914893617023</v>
      </c>
      <c r="G290" s="377">
        <f>SUMIFS(Data!$BE:$BE,Data!$BB:$BB,MarketProfile!A290,Data!BG:BG,"1")</f>
        <v>3713</v>
      </c>
      <c r="H290" s="377"/>
      <c r="I290" s="171">
        <f t="shared" si="18"/>
        <v>2.2353891731753298E-2</v>
      </c>
      <c r="J290" s="153"/>
    </row>
    <row r="291" spans="1:10" x14ac:dyDescent="0.25">
      <c r="A291" s="235" t="s">
        <v>431</v>
      </c>
      <c r="B291" s="235"/>
      <c r="C291" s="3">
        <f>SUMIFS(Data!$AC:$AC,Data!$Z:$Z,MarketProfile!A291,Data!$AE:$AE,"1")</f>
        <v>22276</v>
      </c>
      <c r="D291" s="377">
        <f>SUMIFS(Data!$AQ:$AQ,Data!$AN:$AN,MarketProfile!A291,Data!$AS:$AS,"1")</f>
        <v>13385</v>
      </c>
      <c r="E291" s="377"/>
      <c r="F291" s="171">
        <f t="shared" si="19"/>
        <v>0.66425102726933138</v>
      </c>
      <c r="G291" s="377">
        <f>SUMIFS(Data!$BE:$BE,Data!$BB:$BB,MarketProfile!A291,Data!BG:BG,"1")</f>
        <v>20412</v>
      </c>
      <c r="H291" s="377"/>
      <c r="I291" s="171">
        <f t="shared" si="18"/>
        <v>9.1318832059572794E-2</v>
      </c>
      <c r="J291" s="153"/>
    </row>
    <row r="292" spans="1:10" x14ac:dyDescent="0.25">
      <c r="A292" s="235" t="s">
        <v>432</v>
      </c>
      <c r="B292" s="235"/>
      <c r="C292" s="3">
        <f>SUMIFS(Data!$AC:$AC,Data!$Z:$Z,MarketProfile!A292,Data!$AE:$AE,"1")</f>
        <v>12</v>
      </c>
      <c r="D292" s="377">
        <f>SUMIFS(Data!$AQ:$AQ,Data!$AN:$AN,MarketProfile!A292,Data!$AS:$AS,"1")</f>
        <v>7</v>
      </c>
      <c r="E292" s="377"/>
      <c r="F292" s="171">
        <f t="shared" si="19"/>
        <v>0.7142857142857143</v>
      </c>
      <c r="G292" s="377">
        <f>SUMIFS(Data!$BE:$BE,Data!$BB:$BB,MarketProfile!A292,Data!BG:BG,"1")</f>
        <v>1</v>
      </c>
      <c r="H292" s="377"/>
      <c r="I292" s="171">
        <f t="shared" si="18"/>
        <v>11</v>
      </c>
      <c r="J292" s="153"/>
    </row>
    <row r="293" spans="1:10" x14ac:dyDescent="0.25">
      <c r="A293" s="235" t="s">
        <v>127</v>
      </c>
      <c r="B293" s="235"/>
      <c r="C293" s="3">
        <f>SUMIFS(Data!$AC:$AC,Data!$Z:$Z,MarketProfile!A293,Data!$AE:$AE,"1")</f>
        <v>1</v>
      </c>
      <c r="D293" s="377">
        <f>SUMIFS(Data!$AQ:$AQ,Data!$AN:$AN,MarketProfile!A293,Data!$AS:$AS,"1")</f>
        <v>0</v>
      </c>
      <c r="E293" s="377"/>
      <c r="F293" s="171">
        <f t="shared" si="19"/>
        <v>1</v>
      </c>
      <c r="G293" s="377">
        <f>SUMIFS(Data!$BE:$BE,Data!$BB:$BB,MarketProfile!A293,Data!BG:BG,"1")</f>
        <v>1</v>
      </c>
      <c r="H293" s="377"/>
      <c r="I293" s="171">
        <f t="shared" si="18"/>
        <v>0</v>
      </c>
      <c r="J293" s="153"/>
    </row>
    <row r="294" spans="1:10" x14ac:dyDescent="0.25">
      <c r="A294" s="234" t="s">
        <v>164</v>
      </c>
      <c r="B294" s="235"/>
      <c r="C294" s="4">
        <f>SUM(C286:C293)</f>
        <v>51608</v>
      </c>
      <c r="D294" s="378">
        <f>SUM(D286:E293)</f>
        <v>29367</v>
      </c>
      <c r="E294" s="378">
        <f>SUM(E286:E293)</f>
        <v>0</v>
      </c>
      <c r="F294" s="160">
        <f t="shared" si="19"/>
        <v>0.7573466816494705</v>
      </c>
      <c r="G294" s="378">
        <f>SUM(G286:H293)</f>
        <v>43416</v>
      </c>
      <c r="H294" s="378">
        <f>SUM(H286:H293)</f>
        <v>0</v>
      </c>
      <c r="I294" s="160">
        <f>IFERROR(IF(OR(AND(G294="",C294=""),AND(G294=0,C294=0)),"",
IF(OR(G294="",G294=0),1,
IF(OR(G294&lt;&gt;"",G294&lt;&gt;0),(C294-G294)/ABS(G294)))),-1)</f>
        <v>0.18868619863644739</v>
      </c>
      <c r="J294" s="153"/>
    </row>
    <row r="295" spans="1:10" x14ac:dyDescent="0.25">
      <c r="A295" s="134" t="s">
        <v>15</v>
      </c>
      <c r="B295" s="235"/>
      <c r="C295" s="3"/>
      <c r="D295" s="235"/>
      <c r="E295" s="235"/>
      <c r="F295" s="171"/>
      <c r="G295" s="235"/>
      <c r="H295" s="235"/>
      <c r="I295" s="171" t="s">
        <v>168</v>
      </c>
    </row>
    <row r="296" spans="1:10" x14ac:dyDescent="0.25">
      <c r="A296" s="235" t="s">
        <v>428</v>
      </c>
      <c r="B296" s="235"/>
      <c r="C296" s="3">
        <f>SUMIFS(Data!$AC:$AC,Data!$Z:$Z,MarketProfile!A296,Data!$AE:$AE,"0")</f>
        <v>55</v>
      </c>
      <c r="D296" s="377">
        <f>SUMIFS(Data!$AQ:$AQ,Data!$AN:$AN,MarketProfile!A296,Data!$AS:$AS,"0")</f>
        <v>18</v>
      </c>
      <c r="E296" s="377"/>
      <c r="F296" s="171">
        <f t="shared" ref="F296:F304" si="20">IFERROR(IF(OR(AND(D296="",C296=""),AND(D296=0,C296=0)),"",
IF(OR(D296="",D296=0),1,
IF(OR(D296&lt;&gt;"",D296&lt;&gt;0),(C296-D296)/ABS(D296)))),-1)</f>
        <v>2.0555555555555554</v>
      </c>
      <c r="G296" s="377">
        <f>SUMIFS(Data!$BE:$BE,Data!$BB:$BB,MarketProfile!A296,Data!BG:BG,"0")</f>
        <v>6</v>
      </c>
      <c r="H296" s="377"/>
      <c r="I296" s="171">
        <f t="shared" ref="I296:I304" si="21">IFERROR(IF(OR(AND(G296="",C296=""),AND(G296=0,C296=0)),"",
IF(OR(G296="",G296=0),1,
IF(OR(G296&lt;&gt;"",G296&lt;&gt;0),(C296-G296)/ABS(G296)))),-1)</f>
        <v>8.1666666666666661</v>
      </c>
    </row>
    <row r="297" spans="1:10" x14ac:dyDescent="0.25">
      <c r="A297" s="235" t="s">
        <v>161</v>
      </c>
      <c r="B297" s="235"/>
      <c r="C297" s="3">
        <f>SUMIFS(Data!$AC:$AC,Data!$Z:$Z,MarketProfile!A297,Data!$AE:$AE,"0")</f>
        <v>124</v>
      </c>
      <c r="D297" s="377">
        <f>SUMIFS(Data!$AQ:$AQ,Data!$AN:$AN,MarketProfile!A297,Data!$AS:$AS,"0")</f>
        <v>110</v>
      </c>
      <c r="E297" s="377"/>
      <c r="F297" s="171">
        <f t="shared" si="20"/>
        <v>0.12727272727272726</v>
      </c>
      <c r="G297" s="377">
        <f>SUMIFS(Data!$BE:$BE,Data!$BB:$BB,MarketProfile!A297,Data!BG:BG,"0")</f>
        <v>117</v>
      </c>
      <c r="H297" s="377"/>
      <c r="I297" s="171">
        <f t="shared" si="21"/>
        <v>5.9829059829059832E-2</v>
      </c>
    </row>
    <row r="298" spans="1:10" x14ac:dyDescent="0.25">
      <c r="A298" s="235" t="s">
        <v>429</v>
      </c>
      <c r="B298" s="235"/>
      <c r="C298" s="3">
        <f>SUMIFS(Data!$AC:$AC,Data!$Z:$Z,MarketProfile!A298,Data!$AE:$AE,"0")</f>
        <v>430</v>
      </c>
      <c r="D298" s="377">
        <f>SUMIFS(Data!$AQ:$AQ,Data!$AN:$AN,MarketProfile!A298,Data!$AS:$AS,"0")</f>
        <v>467</v>
      </c>
      <c r="E298" s="377"/>
      <c r="F298" s="171">
        <f t="shared" si="20"/>
        <v>-7.922912205567452E-2</v>
      </c>
      <c r="G298" s="377">
        <f>SUMIFS(Data!$BE:$BE,Data!$BB:$BB,MarketProfile!A298,Data!BG:BG,"0")</f>
        <v>332</v>
      </c>
      <c r="H298" s="377"/>
      <c r="I298" s="171">
        <f t="shared" si="21"/>
        <v>0.29518072289156627</v>
      </c>
    </row>
    <row r="299" spans="1:10" x14ac:dyDescent="0.25">
      <c r="A299" s="235" t="s">
        <v>126</v>
      </c>
      <c r="B299" s="235"/>
      <c r="C299" s="3">
        <f>SUMIFS(Data!$AC:$AC,Data!$Z:$Z,MarketProfile!A299,Data!$AE:$AE,"0")</f>
        <v>0</v>
      </c>
      <c r="D299" s="377">
        <f>SUMIFS(Data!$AQ:$AQ,Data!$AN:$AN,MarketProfile!A299,Data!$AS:$AS,"0")</f>
        <v>0</v>
      </c>
      <c r="E299" s="377"/>
      <c r="F299" s="171" t="str">
        <f t="shared" si="20"/>
        <v/>
      </c>
      <c r="G299" s="377">
        <f>SUMIFS(Data!$BE:$BE,Data!$BB:$BB,MarketProfile!A299,Data!BG:BG,"0")</f>
        <v>0</v>
      </c>
      <c r="H299" s="377"/>
      <c r="I299" s="171" t="str">
        <f t="shared" si="21"/>
        <v/>
      </c>
    </row>
    <row r="300" spans="1:10" x14ac:dyDescent="0.25">
      <c r="A300" s="235" t="s">
        <v>430</v>
      </c>
      <c r="B300" s="235"/>
      <c r="C300" s="3">
        <f>SUMIFS(Data!$AC:$AC,Data!$Z:$Z,MarketProfile!A300,Data!$AE:$AE,"0")</f>
        <v>151</v>
      </c>
      <c r="D300" s="377">
        <f>SUMIFS(Data!$AQ:$AQ,Data!$AN:$AN,MarketProfile!A300,Data!$AS:$AS,"0")</f>
        <v>243</v>
      </c>
      <c r="E300" s="377"/>
      <c r="F300" s="171">
        <f t="shared" si="20"/>
        <v>-0.37860082304526749</v>
      </c>
      <c r="G300" s="377">
        <f>SUMIFS(Data!$BE:$BE,Data!$BB:$BB,MarketProfile!A300,Data!BG:BG,"0")</f>
        <v>81</v>
      </c>
      <c r="H300" s="377"/>
      <c r="I300" s="171">
        <f t="shared" si="21"/>
        <v>0.86419753086419748</v>
      </c>
    </row>
    <row r="301" spans="1:10" x14ac:dyDescent="0.25">
      <c r="A301" s="235" t="s">
        <v>431</v>
      </c>
      <c r="B301" s="235"/>
      <c r="C301" s="3">
        <f>SUMIFS(Data!$AC:$AC,Data!$Z:$Z,MarketProfile!A301,Data!$AE:$AE,"0")</f>
        <v>846</v>
      </c>
      <c r="D301" s="377">
        <f>SUMIFS(Data!$AQ:$AQ,Data!$AN:$AN,MarketProfile!A301,Data!$AS:$AS,"0")</f>
        <v>758</v>
      </c>
      <c r="E301" s="377"/>
      <c r="F301" s="171">
        <f t="shared" si="20"/>
        <v>0.11609498680738786</v>
      </c>
      <c r="G301" s="377">
        <f>SUMIFS(Data!$BE:$BE,Data!$BB:$BB,MarketProfile!A301,Data!BG:BG,"0")</f>
        <v>903</v>
      </c>
      <c r="H301" s="377"/>
      <c r="I301" s="171">
        <f t="shared" si="21"/>
        <v>-6.3122923588039864E-2</v>
      </c>
    </row>
    <row r="302" spans="1:10" x14ac:dyDescent="0.25">
      <c r="A302" s="235" t="s">
        <v>432</v>
      </c>
      <c r="B302" s="235"/>
      <c r="C302" s="3">
        <f>SUMIFS(Data!$AC:$AC,Data!$Z:$Z,MarketProfile!A302,Data!$AE:$AE,"0")</f>
        <v>0</v>
      </c>
      <c r="D302" s="377">
        <f>SUMIFS(Data!$AQ:$AQ,Data!$AN:$AN,MarketProfile!A302,Data!$AS:$AS,"0")</f>
        <v>0</v>
      </c>
      <c r="E302" s="377"/>
      <c r="F302" s="171" t="str">
        <f t="shared" si="20"/>
        <v/>
      </c>
      <c r="G302" s="377">
        <f>SUMIFS(Data!$BE:$BE,Data!$BB:$BB,MarketProfile!A302,Data!BG:BG,"0")</f>
        <v>0</v>
      </c>
      <c r="H302" s="377"/>
      <c r="I302" s="171" t="str">
        <f t="shared" si="21"/>
        <v/>
      </c>
    </row>
    <row r="303" spans="1:10" x14ac:dyDescent="0.25">
      <c r="A303" s="235" t="s">
        <v>127</v>
      </c>
      <c r="B303" s="235"/>
      <c r="C303" s="3">
        <f>SUMIFS(Data!$AC:$AC,Data!$Z:$Z,MarketProfile!A303,Data!$AE:$AE,"0")</f>
        <v>0</v>
      </c>
      <c r="D303" s="377">
        <f>SUMIFS(Data!$AQ:$AQ,Data!$AN:$AN,MarketProfile!A303,Data!$AS:$AS,"0")</f>
        <v>0</v>
      </c>
      <c r="E303" s="377"/>
      <c r="F303" s="171" t="str">
        <f t="shared" si="20"/>
        <v/>
      </c>
      <c r="G303" s="377">
        <f>SUMIFS(Data!$BE:$BE,Data!$BB:$BB,MarketProfile!A303,Data!BG:BG,"0")</f>
        <v>0</v>
      </c>
      <c r="H303" s="377"/>
      <c r="I303" s="171" t="str">
        <f t="shared" si="21"/>
        <v/>
      </c>
    </row>
    <row r="304" spans="1:10" x14ac:dyDescent="0.25">
      <c r="A304" s="234" t="s">
        <v>165</v>
      </c>
      <c r="B304" s="235"/>
      <c r="C304" s="4">
        <f>SUM(C296:C303)</f>
        <v>1606</v>
      </c>
      <c r="D304" s="378">
        <f>SUM(D296:E303)</f>
        <v>1596</v>
      </c>
      <c r="E304" s="378">
        <f>SUM(E296:E303)</f>
        <v>0</v>
      </c>
      <c r="F304" s="160">
        <f t="shared" si="20"/>
        <v>6.2656641604010022E-3</v>
      </c>
      <c r="G304" s="378">
        <f>SUM(G296:H303)</f>
        <v>1439</v>
      </c>
      <c r="H304" s="378">
        <f>SUM(H296:H303)</f>
        <v>0</v>
      </c>
      <c r="I304" s="160">
        <f t="shared" si="21"/>
        <v>0.11605281445448228</v>
      </c>
    </row>
    <row r="305" spans="1:9" x14ac:dyDescent="0.25">
      <c r="A305" s="132" t="s">
        <v>119</v>
      </c>
      <c r="B305" s="132"/>
      <c r="C305" s="162"/>
      <c r="D305" s="132"/>
      <c r="E305" s="132"/>
      <c r="F305" s="132" t="s">
        <v>168</v>
      </c>
      <c r="G305" s="132"/>
      <c r="H305" s="133"/>
      <c r="I305" s="163" t="s">
        <v>168</v>
      </c>
    </row>
    <row r="306" spans="1:9" x14ac:dyDescent="0.25">
      <c r="A306" s="134" t="s">
        <v>14</v>
      </c>
      <c r="B306" s="235"/>
      <c r="C306" s="3"/>
      <c r="D306" s="235"/>
      <c r="E306" s="235"/>
      <c r="F306" s="135"/>
      <c r="G306" s="235"/>
      <c r="H306" s="235"/>
      <c r="I306" s="171"/>
    </row>
    <row r="307" spans="1:9" x14ac:dyDescent="0.25">
      <c r="A307" s="235" t="s">
        <v>428</v>
      </c>
      <c r="B307" s="235"/>
      <c r="C307" s="3">
        <f>SUMIFS(Data!$AB:$AB,Data!$Z:$Z,MarketProfile!A307,Data!$AE:$AE,"1")</f>
        <v>48603</v>
      </c>
      <c r="D307" s="377">
        <f>SUMIFS(Data!$AP:$AP,Data!$AN:$AN,MarketProfile!A307,Data!$AS:$AS,"1")</f>
        <v>22298</v>
      </c>
      <c r="E307" s="377"/>
      <c r="F307" s="171">
        <f t="shared" ref="F307:F315" si="22">IFERROR(IF(OR(AND(D307="",C307=""),AND(D307=0,C307=0)),"",
IF(OR(D307="",D307=0),1,
IF(OR(D307&lt;&gt;"",D307&lt;&gt;0),(C307-D307)/ABS(D307)))),-1)</f>
        <v>1.1797022154453314</v>
      </c>
      <c r="G307" s="377">
        <f>SUMIFS(Data!$BD:$BD,Data!$BB:$BB,MarketProfile!A307,Data!BG:BG,"1")</f>
        <v>49847</v>
      </c>
      <c r="H307" s="377"/>
      <c r="I307" s="171">
        <f t="shared" ref="I307:I315" si="23">IFERROR(IF(OR(AND(G307="",C307=""),AND(G307=0,C307=0)),"",
IF(OR(G307="",G307=0),1,
IF(OR(G307&lt;&gt;"",G307&lt;&gt;0),(C307-G307)/ABS(G307)))),-1)</f>
        <v>-2.4956366481433186E-2</v>
      </c>
    </row>
    <row r="308" spans="1:9" x14ac:dyDescent="0.25">
      <c r="A308" s="235" t="s">
        <v>161</v>
      </c>
      <c r="B308" s="235"/>
      <c r="C308" s="3">
        <f>SUMIFS(Data!$AB:$AB,Data!$Z:$Z,MarketProfile!A308,Data!$AE:$AE,"1")</f>
        <v>35730</v>
      </c>
      <c r="D308" s="377">
        <f>SUMIFS(Data!$AP:$AP,Data!$AN:$AN,MarketProfile!A308,Data!$AS:$AS,"1")</f>
        <v>20762</v>
      </c>
      <c r="E308" s="377"/>
      <c r="F308" s="171">
        <f t="shared" si="22"/>
        <v>0.72093247278682204</v>
      </c>
      <c r="G308" s="377">
        <f>SUMIFS(Data!$BD:$BD,Data!$BB:$BB,MarketProfile!A308,Data!BG:BG,"1")</f>
        <v>28912</v>
      </c>
      <c r="H308" s="377"/>
      <c r="I308" s="171">
        <f t="shared" si="23"/>
        <v>0.2358190370780299</v>
      </c>
    </row>
    <row r="309" spans="1:9" x14ac:dyDescent="0.25">
      <c r="A309" s="235" t="s">
        <v>429</v>
      </c>
      <c r="B309" s="235"/>
      <c r="C309" s="3">
        <f>SUMIFS(Data!$AB:$AB,Data!$Z:$Z,MarketProfile!A309,Data!$AE:$AE,"1")</f>
        <v>129234</v>
      </c>
      <c r="D309" s="377">
        <f>SUMIFS(Data!$AP:$AP,Data!$AN:$AN,MarketProfile!A309,Data!$AS:$AS,"1")</f>
        <v>61607</v>
      </c>
      <c r="E309" s="377"/>
      <c r="F309" s="171">
        <f t="shared" si="22"/>
        <v>1.0977161686172026</v>
      </c>
      <c r="G309" s="377">
        <f>SUMIFS(Data!$BD:$BD,Data!$BB:$BB,MarketProfile!A309,Data!BG:BG,"1")</f>
        <v>80815</v>
      </c>
      <c r="H309" s="377"/>
      <c r="I309" s="171">
        <f t="shared" si="23"/>
        <v>0.59913382416630578</v>
      </c>
    </row>
    <row r="310" spans="1:9" x14ac:dyDescent="0.25">
      <c r="A310" s="235" t="s">
        <v>126</v>
      </c>
      <c r="B310" s="235"/>
      <c r="C310" s="3">
        <f>SUMIFS(Data!$AB:$AB,Data!$Z:$Z,MarketProfile!A310,Data!$AE:$AE,"1")</f>
        <v>512</v>
      </c>
      <c r="D310" s="377">
        <f>SUMIFS(Data!$AP:$AP,Data!$AN:$AN,MarketProfile!A310,Data!$AS:$AS,"1")</f>
        <v>42</v>
      </c>
      <c r="E310" s="377"/>
      <c r="F310" s="171">
        <f t="shared" si="22"/>
        <v>11.19047619047619</v>
      </c>
      <c r="G310" s="377">
        <f>SUMIFS(Data!$BD:$BD,Data!$BB:$BB,MarketProfile!A310,Data!BG:BG,"1")</f>
        <v>702</v>
      </c>
      <c r="H310" s="377"/>
      <c r="I310" s="171">
        <f t="shared" si="23"/>
        <v>-0.27065527065527067</v>
      </c>
    </row>
    <row r="311" spans="1:9" x14ac:dyDescent="0.25">
      <c r="A311" s="235" t="s">
        <v>430</v>
      </c>
      <c r="B311" s="235"/>
      <c r="C311" s="3">
        <f>SUMIFS(Data!$AB:$AB,Data!$Z:$Z,MarketProfile!A311,Data!$AE:$AE,"1")</f>
        <v>12520</v>
      </c>
      <c r="D311" s="377">
        <f>SUMIFS(Data!$AP:$AP,Data!$AN:$AN,MarketProfile!A311,Data!$AS:$AS,"1")</f>
        <v>10556</v>
      </c>
      <c r="E311" s="377"/>
      <c r="F311" s="171">
        <f t="shared" si="22"/>
        <v>0.18605532398635846</v>
      </c>
      <c r="G311" s="377">
        <f>SUMIFS(Data!$BD:$BD,Data!$BB:$BB,MarketProfile!A311,Data!BG:BG,"1")</f>
        <v>21348</v>
      </c>
      <c r="H311" s="377"/>
      <c r="I311" s="171">
        <f t="shared" si="23"/>
        <v>-0.413528199362938</v>
      </c>
    </row>
    <row r="312" spans="1:9" x14ac:dyDescent="0.25">
      <c r="A312" s="235" t="s">
        <v>431</v>
      </c>
      <c r="B312" s="235"/>
      <c r="C312" s="3">
        <f>SUMIFS(Data!$AB:$AB,Data!$Z:$Z,MarketProfile!A312,Data!$AE:$AE,"1")</f>
        <v>119758</v>
      </c>
      <c r="D312" s="377">
        <f>SUMIFS(Data!$AP:$AP,Data!$AN:$AN,MarketProfile!A312,Data!$AS:$AS,"1")</f>
        <v>67352</v>
      </c>
      <c r="E312" s="377"/>
      <c r="F312" s="171">
        <f t="shared" si="22"/>
        <v>0.77809122223541993</v>
      </c>
      <c r="G312" s="377">
        <f>SUMIFS(Data!$BD:$BD,Data!$BB:$BB,MarketProfile!A312,Data!BG:BG,"1")</f>
        <v>115758</v>
      </c>
      <c r="H312" s="377"/>
      <c r="I312" s="171">
        <f t="shared" si="23"/>
        <v>3.4554847181188342E-2</v>
      </c>
    </row>
    <row r="313" spans="1:9" x14ac:dyDescent="0.25">
      <c r="A313" s="235" t="s">
        <v>432</v>
      </c>
      <c r="B313" s="235"/>
      <c r="C313" s="3">
        <f>SUMIFS(Data!$AB:$AB,Data!$Z:$Z,MarketProfile!A313,Data!$AE:$AE,"1")</f>
        <v>215</v>
      </c>
      <c r="D313" s="377">
        <f>SUMIFS(Data!$AP:$AP,Data!$AN:$AN,MarketProfile!A313,Data!$AS:$AS,"1")</f>
        <v>58</v>
      </c>
      <c r="E313" s="377"/>
      <c r="F313" s="171">
        <f t="shared" si="22"/>
        <v>2.7068965517241379</v>
      </c>
      <c r="G313" s="377">
        <f>SUMIFS(Data!$BD:$BD,Data!$BB:$BB,MarketProfile!A313,Data!BG:BG,"1")</f>
        <v>50</v>
      </c>
      <c r="H313" s="377"/>
      <c r="I313" s="171">
        <f t="shared" si="23"/>
        <v>3.3</v>
      </c>
    </row>
    <row r="314" spans="1:9" x14ac:dyDescent="0.25">
      <c r="A314" s="235" t="s">
        <v>127</v>
      </c>
      <c r="B314" s="235"/>
      <c r="C314" s="3">
        <f>SUMIFS(Data!$AB:$AB,Data!$Z:$Z,MarketProfile!A314,Data!$AE:$AE,"1")</f>
        <v>5</v>
      </c>
      <c r="D314" s="377">
        <f>SUMIFS(Data!$AP:$AP,Data!$AN:$AN,MarketProfile!A314,Data!$AS:$AS,"1")</f>
        <v>0</v>
      </c>
      <c r="E314" s="377"/>
      <c r="F314" s="171">
        <f t="shared" si="22"/>
        <v>1</v>
      </c>
      <c r="G314" s="377">
        <f>SUMIFS(Data!$BD:$BD,Data!$BB:$BB,MarketProfile!A314,Data!BG:BG,"1")</f>
        <v>2</v>
      </c>
      <c r="H314" s="377"/>
      <c r="I314" s="171">
        <f t="shared" si="23"/>
        <v>1.5</v>
      </c>
    </row>
    <row r="315" spans="1:9" x14ac:dyDescent="0.25">
      <c r="A315" s="234" t="s">
        <v>164</v>
      </c>
      <c r="B315" s="235"/>
      <c r="C315" s="4">
        <f>SUM(C307:C314)</f>
        <v>346577</v>
      </c>
      <c r="D315" s="378">
        <f>SUM(D307:E314)</f>
        <v>182675</v>
      </c>
      <c r="E315" s="378">
        <f>SUM(E307:E314)</f>
        <v>0</v>
      </c>
      <c r="F315" s="160">
        <f t="shared" si="22"/>
        <v>0.89723279047488713</v>
      </c>
      <c r="G315" s="378">
        <f>SUM(G307:H314)</f>
        <v>297434</v>
      </c>
      <c r="H315" s="378">
        <f>SUM(H307:H314)</f>
        <v>0</v>
      </c>
      <c r="I315" s="160">
        <f t="shared" si="23"/>
        <v>0.16522320918254133</v>
      </c>
    </row>
    <row r="316" spans="1:9" x14ac:dyDescent="0.25">
      <c r="A316" s="134" t="s">
        <v>15</v>
      </c>
      <c r="B316" s="235"/>
      <c r="C316" s="3"/>
      <c r="D316" s="235"/>
      <c r="E316" s="235"/>
      <c r="F316" s="171"/>
      <c r="G316" s="235"/>
      <c r="H316" s="235"/>
      <c r="I316" s="171"/>
    </row>
    <row r="317" spans="1:9" x14ac:dyDescent="0.25">
      <c r="A317" s="235" t="s">
        <v>428</v>
      </c>
      <c r="B317" s="235"/>
      <c r="C317" s="3">
        <f>SUMIFS(Data!$AB:$AB,Data!$Z:$Z,MarketProfile!A317,Data!$AE:$AE,"0")</f>
        <v>137</v>
      </c>
      <c r="D317" s="377">
        <f>SUMIFS(Data!$AP:$AP,Data!$AN:$AN,MarketProfile!A317,Data!$AS:$AS,"0")</f>
        <v>31</v>
      </c>
      <c r="E317" s="377"/>
      <c r="F317" s="171">
        <f t="shared" ref="F317:F325" si="24">IFERROR(IF(OR(AND(D317="",C317=""),AND(D317=0,C317=0)),"",
IF(OR(D317="",D317=0),1,
IF(OR(D317&lt;&gt;"",D317&lt;&gt;0),(C317-D317)/ABS(D317)))),-1)</f>
        <v>3.4193548387096775</v>
      </c>
      <c r="G317" s="377">
        <f>SUMIFS(Data!$BD:$BD,Data!$BB:$BB,MarketProfile!A317,Data!BG:BG,"0")</f>
        <v>17</v>
      </c>
      <c r="H317" s="377"/>
      <c r="I317" s="171">
        <f t="shared" ref="I317:I325" si="25">IFERROR(IF(OR(AND(G317="",C317=""),AND(G317=0,C317=0)),"",
IF(OR(G317="",G317=0),1,
IF(OR(G317&lt;&gt;"",G317&lt;&gt;0),(C317-G317)/ABS(G317)))),-1)</f>
        <v>7.0588235294117645</v>
      </c>
    </row>
    <row r="318" spans="1:9" x14ac:dyDescent="0.25">
      <c r="A318" s="235" t="s">
        <v>161</v>
      </c>
      <c r="B318" s="235"/>
      <c r="C318" s="3">
        <f>SUMIFS(Data!$AB:$AB,Data!$Z:$Z,MarketProfile!A318,Data!$AE:$AE,"0")</f>
        <v>448</v>
      </c>
      <c r="D318" s="377">
        <f>SUMIFS(Data!$AP:$AP,Data!$AN:$AN,MarketProfile!A318,Data!$AS:$AS,"0")</f>
        <v>1320</v>
      </c>
      <c r="E318" s="377"/>
      <c r="F318" s="171">
        <f t="shared" si="24"/>
        <v>-0.66060606060606064</v>
      </c>
      <c r="G318" s="377">
        <f>SUMIFS(Data!$BD:$BD,Data!$BB:$BB,MarketProfile!A318,Data!BG:BG,"0")</f>
        <v>1923</v>
      </c>
      <c r="H318" s="377"/>
      <c r="I318" s="171">
        <f t="shared" si="25"/>
        <v>-0.76703068122724904</v>
      </c>
    </row>
    <row r="319" spans="1:9" x14ac:dyDescent="0.25">
      <c r="A319" s="235" t="s">
        <v>429</v>
      </c>
      <c r="B319" s="235"/>
      <c r="C319" s="3">
        <f>SUMIFS(Data!$AB:$AB,Data!$Z:$Z,MarketProfile!A319,Data!$AE:$AE,"0")</f>
        <v>4372</v>
      </c>
      <c r="D319" s="377">
        <f>SUMIFS(Data!$AP:$AP,Data!$AN:$AN,MarketProfile!A319,Data!$AS:$AS,"0")</f>
        <v>5852</v>
      </c>
      <c r="E319" s="377"/>
      <c r="F319" s="171">
        <f t="shared" si="24"/>
        <v>-0.25290498974709502</v>
      </c>
      <c r="G319" s="377">
        <f>SUMIFS(Data!$BD:$BD,Data!$BB:$BB,MarketProfile!A319,Data!BG:BG,"0")</f>
        <v>8562</v>
      </c>
      <c r="H319" s="377"/>
      <c r="I319" s="171">
        <f t="shared" si="25"/>
        <v>-0.48937164213968698</v>
      </c>
    </row>
    <row r="320" spans="1:9" x14ac:dyDescent="0.25">
      <c r="A320" s="235" t="s">
        <v>126</v>
      </c>
      <c r="B320" s="235"/>
      <c r="C320" s="3">
        <f>SUMIFS(Data!$AB:$AB,Data!$Z:$Z,MarketProfile!A320,Data!$AE:$AE,"0")</f>
        <v>0</v>
      </c>
      <c r="D320" s="377">
        <f>SUMIFS(Data!$AP:$AP,Data!$AN:$AN,MarketProfile!A320,Data!$AS:$AS,"0")</f>
        <v>0</v>
      </c>
      <c r="E320" s="377"/>
      <c r="F320" s="171" t="str">
        <f t="shared" si="24"/>
        <v/>
      </c>
      <c r="G320" s="377">
        <f>SUMIFS(Data!$BD:$BD,Data!$BB:$BB,MarketProfile!A320,Data!BG:BG,"0")</f>
        <v>0</v>
      </c>
      <c r="H320" s="377"/>
      <c r="I320" s="171" t="str">
        <f t="shared" si="25"/>
        <v/>
      </c>
    </row>
    <row r="321" spans="1:9" x14ac:dyDescent="0.25">
      <c r="A321" s="235" t="s">
        <v>430</v>
      </c>
      <c r="B321" s="235"/>
      <c r="C321" s="3">
        <f>SUMIFS(Data!$AB:$AB,Data!$Z:$Z,MarketProfile!A321,Data!$AE:$AE,"0")</f>
        <v>1453</v>
      </c>
      <c r="D321" s="377">
        <f>SUMIFS(Data!$AP:$AP,Data!$AN:$AN,MarketProfile!A321,Data!$AS:$AS,"0")</f>
        <v>2388</v>
      </c>
      <c r="E321" s="377"/>
      <c r="F321" s="171">
        <f t="shared" si="24"/>
        <v>-0.39154103852596317</v>
      </c>
      <c r="G321" s="377">
        <f>SUMIFS(Data!$BD:$BD,Data!$BB:$BB,MarketProfile!A321,Data!BG:BG,"0")</f>
        <v>756</v>
      </c>
      <c r="H321" s="377"/>
      <c r="I321" s="171">
        <f t="shared" si="25"/>
        <v>0.92195767195767198</v>
      </c>
    </row>
    <row r="322" spans="1:9" x14ac:dyDescent="0.25">
      <c r="A322" s="235" t="s">
        <v>431</v>
      </c>
      <c r="B322" s="235"/>
      <c r="C322" s="3">
        <f>SUMIFS(Data!$AB:$AB,Data!$Z:$Z,MarketProfile!A322,Data!$AE:$AE,"0")</f>
        <v>6280</v>
      </c>
      <c r="D322" s="377">
        <f>SUMIFS(Data!$AP:$AP,Data!$AN:$AN,MarketProfile!A322,Data!$AS:$AS,"0")</f>
        <v>7249</v>
      </c>
      <c r="E322" s="377"/>
      <c r="F322" s="171">
        <f t="shared" si="24"/>
        <v>-0.13367361015312457</v>
      </c>
      <c r="G322" s="377">
        <f>SUMIFS(Data!$BD:$BD,Data!$BB:$BB,MarketProfile!A322,Data!BG:BG,"0")</f>
        <v>11816</v>
      </c>
      <c r="H322" s="377"/>
      <c r="I322" s="171">
        <f t="shared" si="25"/>
        <v>-0.46851726472579552</v>
      </c>
    </row>
    <row r="323" spans="1:9" x14ac:dyDescent="0.25">
      <c r="A323" s="235" t="s">
        <v>432</v>
      </c>
      <c r="B323" s="235"/>
      <c r="C323" s="3">
        <f>SUMIFS(Data!$AB:$AB,Data!$Z:$Z,MarketProfile!A323,Data!$AE:$AE,"0")</f>
        <v>0</v>
      </c>
      <c r="D323" s="377">
        <f>SUMIFS(Data!$AP:$AP,Data!$AN:$AN,MarketProfile!A323,Data!$AS:$AS,"0")</f>
        <v>0</v>
      </c>
      <c r="E323" s="377"/>
      <c r="F323" s="171" t="str">
        <f t="shared" si="24"/>
        <v/>
      </c>
      <c r="G323" s="377">
        <f>SUMIFS(Data!$BD:$BD,Data!$BB:$BB,MarketProfile!A323,Data!BG:BG,"0")</f>
        <v>0</v>
      </c>
      <c r="H323" s="377"/>
      <c r="I323" s="171" t="str">
        <f t="shared" si="25"/>
        <v/>
      </c>
    </row>
    <row r="324" spans="1:9" x14ac:dyDescent="0.25">
      <c r="A324" s="235" t="s">
        <v>127</v>
      </c>
      <c r="B324" s="235"/>
      <c r="C324" s="3">
        <f>SUMIFS(Data!$AB:$AB,Data!$Z:$Z,MarketProfile!A324,Data!$AE:$AE,"0")</f>
        <v>0</v>
      </c>
      <c r="D324" s="377">
        <f>SUMIFS(Data!$AP:$AP,Data!$AN:$AN,MarketProfile!A324,Data!$AS:$AS,"0")</f>
        <v>0</v>
      </c>
      <c r="E324" s="377"/>
      <c r="F324" s="171" t="str">
        <f t="shared" si="24"/>
        <v/>
      </c>
      <c r="G324" s="377">
        <f>SUMIFS(Data!$BD:$BD,Data!$BB:$BB,MarketProfile!A324,Data!BG:BG,"0")</f>
        <v>0</v>
      </c>
      <c r="H324" s="377"/>
      <c r="I324" s="171" t="str">
        <f t="shared" si="25"/>
        <v/>
      </c>
    </row>
    <row r="325" spans="1:9" x14ac:dyDescent="0.25">
      <c r="A325" s="234" t="s">
        <v>165</v>
      </c>
      <c r="B325" s="235"/>
      <c r="C325" s="4">
        <f>SUM(C317:C324)</f>
        <v>12690</v>
      </c>
      <c r="D325" s="378">
        <f>SUM(D317:E324)</f>
        <v>16840</v>
      </c>
      <c r="E325" s="378">
        <v>34213</v>
      </c>
      <c r="F325" s="160">
        <f t="shared" si="24"/>
        <v>-0.24643705463182897</v>
      </c>
      <c r="G325" s="378">
        <f>SUM(G317:H324)</f>
        <v>23074</v>
      </c>
      <c r="H325" s="378">
        <f>SUM(H317:H324)</f>
        <v>0</v>
      </c>
      <c r="I325" s="160">
        <f t="shared" si="25"/>
        <v>-0.45003033717604229</v>
      </c>
    </row>
    <row r="326" spans="1:9" x14ac:dyDescent="0.25">
      <c r="A326" s="132" t="s">
        <v>172</v>
      </c>
      <c r="B326" s="132"/>
      <c r="C326" s="162"/>
      <c r="D326" s="132"/>
      <c r="E326" s="132"/>
      <c r="F326" s="132" t="s">
        <v>168</v>
      </c>
      <c r="G326" s="132"/>
      <c r="H326" s="132"/>
      <c r="I326" s="163" t="s">
        <v>168</v>
      </c>
    </row>
    <row r="327" spans="1:9" x14ac:dyDescent="0.25">
      <c r="A327" s="134" t="s">
        <v>14</v>
      </c>
      <c r="B327" s="235"/>
      <c r="C327" s="3"/>
      <c r="D327" s="235"/>
      <c r="E327" s="235"/>
      <c r="F327" s="135"/>
      <c r="G327" s="235"/>
      <c r="H327" s="235"/>
      <c r="I327" s="171"/>
    </row>
    <row r="328" spans="1:9" x14ac:dyDescent="0.25">
      <c r="A328" s="235" t="s">
        <v>428</v>
      </c>
      <c r="B328" s="235"/>
      <c r="C328" s="3">
        <f>SUMIFS(Data!$AA:$AA,Data!$Z:$Z,MarketProfile!A328,Data!$AE:$AE,"1")/1000</f>
        <v>17013228.578159999</v>
      </c>
      <c r="D328" s="377">
        <f>SUMIFS(Data!$AO:$AO,Data!$AN:$AN,MarketProfile!A328,Data!$AS:$AS,"1")/1000</f>
        <v>7179172.3348000003</v>
      </c>
      <c r="E328" s="377"/>
      <c r="F328" s="171">
        <f t="shared" ref="F328:F336" si="26">IFERROR(IF(OR(AND(D328="",C328=""),AND(D328=0,C328=0)),"",
IF(OR(D328="",D328=0),1,
IF(OR(D328&lt;&gt;"",D328&lt;&gt;0),(C328-D328)/ABS(D328)))),-1)</f>
        <v>1.3698036186832891</v>
      </c>
      <c r="G328" s="377">
        <f>SUMIFS(Data!$BC:$BC,Data!$BB:$BB,MarketProfile!A328,Data!BG:BG,"1")/1000</f>
        <v>12913263.010399999</v>
      </c>
      <c r="H328" s="377"/>
      <c r="I328" s="171">
        <f t="shared" ref="I328:I336" si="27">IFERROR(IF(OR(AND(G328="",C328=""),AND(G328=0,C328=0)),"",
IF(OR(G328="",G328=0),1,
IF(OR(G328&lt;&gt;"",G328&lt;&gt;0),(C328-G328)/ABS(G328)))),-1)</f>
        <v>0.31750035327693676</v>
      </c>
    </row>
    <row r="329" spans="1:9" x14ac:dyDescent="0.25">
      <c r="A329" s="235" t="s">
        <v>161</v>
      </c>
      <c r="B329" s="235"/>
      <c r="C329" s="3">
        <f>SUMIFS(Data!$AA:$AA,Data!$Z:$Z,MarketProfile!A329,Data!$AE:$AE,"1")/1000</f>
        <v>13213360.034754999</v>
      </c>
      <c r="D329" s="377">
        <f>SUMIFS(Data!$AO:$AO,Data!$AN:$AN,MarketProfile!A329,Data!$AS:$AS,"1")/1000</f>
        <v>7599971.6186250001</v>
      </c>
      <c r="E329" s="377"/>
      <c r="F329" s="171">
        <f t="shared" si="26"/>
        <v>0.73860649721025973</v>
      </c>
      <c r="G329" s="377">
        <f>SUMIFS(Data!$BC:$BC,Data!$BB:$BB,MarketProfile!A329,Data!BG:BG,"1")/1000</f>
        <v>11862261.453445001</v>
      </c>
      <c r="H329" s="377"/>
      <c r="I329" s="171">
        <f t="shared" si="27"/>
        <v>0.11389890423614096</v>
      </c>
    </row>
    <row r="330" spans="1:9" x14ac:dyDescent="0.25">
      <c r="A330" s="235" t="s">
        <v>429</v>
      </c>
      <c r="B330" s="235"/>
      <c r="C330" s="3">
        <f>SUMIFS(Data!$AA:$AA,Data!$Z:$Z,MarketProfile!A330,Data!$AE:$AE,"1")/1000</f>
        <v>46631718.798339993</v>
      </c>
      <c r="D330" s="377">
        <f>SUMIFS(Data!$AO:$AO,Data!$AN:$AN,MarketProfile!A330,Data!$AS:$AS,"1")/1000</f>
        <v>20959859.572560001</v>
      </c>
      <c r="E330" s="377"/>
      <c r="F330" s="171">
        <f t="shared" si="26"/>
        <v>1.2248106499429412</v>
      </c>
      <c r="G330" s="377">
        <f>SUMIFS(Data!$BC:$BC,Data!$BB:$BB,MarketProfile!A330,Data!BG:BG,"1")/1000</f>
        <v>26868508.57299</v>
      </c>
      <c r="H330" s="377"/>
      <c r="I330" s="171">
        <f t="shared" si="27"/>
        <v>0.73555293073532468</v>
      </c>
    </row>
    <row r="331" spans="1:9" x14ac:dyDescent="0.25">
      <c r="A331" s="235" t="s">
        <v>126</v>
      </c>
      <c r="B331" s="235"/>
      <c r="C331" s="3">
        <f>SUMIFS(Data!$AA:$AA,Data!$Z:$Z,MarketProfile!A331,Data!$AE:$AE,"1")/1000</f>
        <v>141822.90991999998</v>
      </c>
      <c r="D331" s="377">
        <f>SUMIFS(Data!$AO:$AO,Data!$AN:$AN,MarketProfile!A331,Data!$AS:$AS,"1")/1000</f>
        <v>11208.45</v>
      </c>
      <c r="E331" s="377"/>
      <c r="F331" s="171">
        <f t="shared" si="26"/>
        <v>11.653213416663318</v>
      </c>
      <c r="G331" s="377">
        <f>SUMIFS(Data!$BC:$BC,Data!$BB:$BB,MarketProfile!A331,Data!BG:BG,"1")/1000</f>
        <v>208419.94989600001</v>
      </c>
      <c r="H331" s="377"/>
      <c r="I331" s="171">
        <f t="shared" si="27"/>
        <v>-0.31953294302791768</v>
      </c>
    </row>
    <row r="332" spans="1:9" x14ac:dyDescent="0.25">
      <c r="A332" s="235" t="s">
        <v>430</v>
      </c>
      <c r="B332" s="235"/>
      <c r="C332" s="3">
        <f>SUMIFS(Data!$AA:$AA,Data!$Z:$Z,MarketProfile!A332,Data!$AE:$AE,"1")/1000</f>
        <v>6608359.0167749999</v>
      </c>
      <c r="D332" s="377">
        <f>SUMIFS(Data!$AO:$AO,Data!$AN:$AN,MarketProfile!A332,Data!$AS:$AS,"1")/1000</f>
        <v>5397041.6689649997</v>
      </c>
      <c r="E332" s="377"/>
      <c r="F332" s="171">
        <f t="shared" si="26"/>
        <v>0.22444098491503711</v>
      </c>
      <c r="G332" s="377">
        <f>SUMIFS(Data!$BC:$BC,Data!$BB:$BB,MarketProfile!A332,Data!BG:BG,"1")/1000</f>
        <v>8995508.8393449988</v>
      </c>
      <c r="H332" s="377"/>
      <c r="I332" s="171">
        <f t="shared" si="27"/>
        <v>-0.26537129418726885</v>
      </c>
    </row>
    <row r="333" spans="1:9" x14ac:dyDescent="0.25">
      <c r="A333" s="235" t="s">
        <v>431</v>
      </c>
      <c r="B333" s="235"/>
      <c r="C333" s="3">
        <f>SUMIFS(Data!$AA:$AA,Data!$Z:$Z,MarketProfile!A333,Data!$AE:$AE,"1")/1000</f>
        <v>40445090.003419995</v>
      </c>
      <c r="D333" s="377">
        <f>SUMIFS(Data!$AO:$AO,Data!$AN:$AN,MarketProfile!A333,Data!$AS:$AS,"1")/1000</f>
        <v>21830575.55996</v>
      </c>
      <c r="E333" s="377"/>
      <c r="F333" s="171">
        <f t="shared" si="26"/>
        <v>0.85268088293564448</v>
      </c>
      <c r="G333" s="377">
        <f>SUMIFS(Data!$BC:$BC,Data!$BB:$BB,MarketProfile!A333,Data!BG:BG,"1")/1000</f>
        <v>39277313.844620004</v>
      </c>
      <c r="H333" s="377"/>
      <c r="I333" s="171">
        <f t="shared" si="27"/>
        <v>2.973156879871373E-2</v>
      </c>
    </row>
    <row r="334" spans="1:9" x14ac:dyDescent="0.25">
      <c r="A334" s="235" t="s">
        <v>432</v>
      </c>
      <c r="B334" s="235"/>
      <c r="C334" s="3">
        <f>SUMIFS(Data!$AA:$AA,Data!$Z:$Z,MarketProfile!A334,Data!$AE:$AE,"1")/1000</f>
        <v>34569.740010000001</v>
      </c>
      <c r="D334" s="377">
        <f>SUMIFS(Data!$AO:$AO,Data!$AN:$AN,MarketProfile!A334,Data!$AS:$AS,"1")/1000</f>
        <v>8961.4753800000017</v>
      </c>
      <c r="E334" s="377"/>
      <c r="F334" s="171">
        <f t="shared" si="26"/>
        <v>2.8575947089194584</v>
      </c>
      <c r="G334" s="377">
        <f>SUMIFS(Data!$BC:$BC,Data!$BB:$BB,MarketProfile!A334,Data!BG:BG,"1")/1000</f>
        <v>7055</v>
      </c>
      <c r="H334" s="377"/>
      <c r="I334" s="171">
        <f t="shared" si="27"/>
        <v>3.9000340198440826</v>
      </c>
    </row>
    <row r="335" spans="1:9" x14ac:dyDescent="0.25">
      <c r="A335" s="235" t="s">
        <v>127</v>
      </c>
      <c r="B335" s="235"/>
      <c r="C335" s="3">
        <f>SUMIFS(Data!$AA:$AA,Data!$Z:$Z,MarketProfile!A335,Data!$AE:$AE,"1")/1000</f>
        <v>606</v>
      </c>
      <c r="D335" s="377">
        <f>SUMIFS(Data!$AO:$AO,Data!$AN:$AN,MarketProfile!A335,Data!$AS:$AS,"1")/1000</f>
        <v>0</v>
      </c>
      <c r="E335" s="377"/>
      <c r="F335" s="171">
        <f t="shared" si="26"/>
        <v>1</v>
      </c>
      <c r="G335" s="377">
        <f>SUMIFS(Data!$BC:$BC,Data!$BB:$BB,MarketProfile!A335,Data!BG:BG,"1")/1000</f>
        <v>141.04</v>
      </c>
      <c r="H335" s="377"/>
      <c r="I335" s="171">
        <f t="shared" si="27"/>
        <v>3.2966534316505962</v>
      </c>
    </row>
    <row r="336" spans="1:9" x14ac:dyDescent="0.25">
      <c r="A336" s="234" t="s">
        <v>164</v>
      </c>
      <c r="B336" s="235"/>
      <c r="C336" s="4">
        <f>SUM(C328:C335)</f>
        <v>124088755.08137998</v>
      </c>
      <c r="D336" s="378">
        <f>SUM(D328:E335)</f>
        <v>62986790.680290006</v>
      </c>
      <c r="E336" s="378">
        <f>SUM(E328:E335)</f>
        <v>0</v>
      </c>
      <c r="F336" s="160">
        <f t="shared" si="26"/>
        <v>0.97007584830338345</v>
      </c>
      <c r="G336" s="378">
        <f>SUM(G328:H335)</f>
        <v>100132471.71069601</v>
      </c>
      <c r="H336" s="378">
        <f>SUM(H328:H335)</f>
        <v>0</v>
      </c>
      <c r="I336" s="160">
        <f t="shared" si="27"/>
        <v>0.23924590056958508</v>
      </c>
    </row>
    <row r="337" spans="1:9" x14ac:dyDescent="0.25">
      <c r="A337" s="134" t="s">
        <v>15</v>
      </c>
      <c r="B337" s="235"/>
      <c r="C337" s="3"/>
      <c r="D337" s="235"/>
      <c r="E337" s="136"/>
      <c r="F337" s="171" t="s">
        <v>168</v>
      </c>
      <c r="G337" s="235"/>
      <c r="H337" s="136"/>
      <c r="I337" s="171"/>
    </row>
    <row r="338" spans="1:9" x14ac:dyDescent="0.25">
      <c r="A338" s="235" t="s">
        <v>428</v>
      </c>
      <c r="B338" s="235"/>
      <c r="C338" s="3">
        <f>SUMIFS(Data!$AA:$AA,Data!$Z:$Z,MarketProfile!A338,Data!$AE:$AE,"0")/1000</f>
        <v>1176.0889999999999</v>
      </c>
      <c r="D338" s="377">
        <f>SUMIFS(Data!$AO:$AO,Data!$AN:$AN,MarketProfile!A338,Data!$AS:$AS,"0")/1000</f>
        <v>542.79999999999995</v>
      </c>
      <c r="E338" s="377"/>
      <c r="F338" s="171">
        <f t="shared" ref="F338:F346" si="28">IFERROR(IF(OR(AND(D338="",C338=""),AND(D338=0,C338=0)),"",
IF(OR(D338="",D338=0),1,
IF(OR(D338&lt;&gt;"",D338&lt;&gt;0),(C338-D338)/ABS(D338)))),-1)</f>
        <v>1.1667078113485632</v>
      </c>
      <c r="G338" s="377">
        <f>SUMIFS(Data!$BC:$BC,Data!$BB:$BB,MarketProfile!A338,Data!BG:BG,"0")/1000</f>
        <v>102.1</v>
      </c>
      <c r="H338" s="377"/>
      <c r="I338" s="171">
        <f t="shared" ref="I338:I346" si="29">IFERROR(IF(OR(AND(G338="",C338=""),AND(G338=0,C338=0)),"",
IF(OR(G338="",G338=0),1,
IF(OR(G338&lt;&gt;"",G338&lt;&gt;0),(C338-G338)/ABS(G338)))),-1)</f>
        <v>10.518991185112636</v>
      </c>
    </row>
    <row r="339" spans="1:9" x14ac:dyDescent="0.25">
      <c r="A339" s="235" t="s">
        <v>161</v>
      </c>
      <c r="B339" s="235"/>
      <c r="C339" s="3">
        <f>SUMIFS(Data!$AA:$AA,Data!$Z:$Z,MarketProfile!A339,Data!$AE:$AE,"0")/1000</f>
        <v>4179.8874999999998</v>
      </c>
      <c r="D339" s="377">
        <f>SUMIFS(Data!$AO:$AO,Data!$AN:$AN,MarketProfile!A339,Data!$AS:$AS,"0")/1000</f>
        <v>8654.7029999999995</v>
      </c>
      <c r="E339" s="377"/>
      <c r="F339" s="171">
        <f t="shared" si="28"/>
        <v>-0.5170385973961209</v>
      </c>
      <c r="G339" s="377">
        <f>SUMIFS(Data!$BC:$BC,Data!$BB:$BB,MarketProfile!A339,Data!BG:BG,"0")/1000</f>
        <v>19230.05126</v>
      </c>
      <c r="H339" s="377"/>
      <c r="I339" s="171">
        <f t="shared" si="29"/>
        <v>-0.78263773489286059</v>
      </c>
    </row>
    <row r="340" spans="1:9" x14ac:dyDescent="0.25">
      <c r="A340" s="235" t="s">
        <v>429</v>
      </c>
      <c r="B340" s="235"/>
      <c r="C340" s="3">
        <f>SUMIFS(Data!$AA:$AA,Data!$Z:$Z,MarketProfile!A340,Data!$AE:$AE,"0")/1000</f>
        <v>52289.325729999997</v>
      </c>
      <c r="D340" s="377">
        <f>SUMIFS(Data!$AO:$AO,Data!$AN:$AN,MarketProfile!A340,Data!$AS:$AS,"0")/1000</f>
        <v>51026.719560000005</v>
      </c>
      <c r="E340" s="377"/>
      <c r="F340" s="171">
        <f t="shared" si="28"/>
        <v>2.4744020013188393E-2</v>
      </c>
      <c r="G340" s="377">
        <f>SUMIFS(Data!$BC:$BC,Data!$BB:$BB,MarketProfile!A340,Data!BG:BG,"0")/1000</f>
        <v>108589.61748</v>
      </c>
      <c r="H340" s="377"/>
      <c r="I340" s="171">
        <f t="shared" si="29"/>
        <v>-0.51846846002905733</v>
      </c>
    </row>
    <row r="341" spans="1:9" x14ac:dyDescent="0.25">
      <c r="A341" s="235" t="s">
        <v>126</v>
      </c>
      <c r="B341" s="235"/>
      <c r="C341" s="3">
        <f>SUMIFS(Data!$AA:$AA,Data!$Z:$Z,MarketProfile!A341,Data!$AE:$AE,"0")/1000</f>
        <v>0</v>
      </c>
      <c r="D341" s="377">
        <f>SUMIFS(Data!$AO:$AO,Data!$AN:$AN,MarketProfile!A341,Data!$AS:$AS,"0")/1000</f>
        <v>0</v>
      </c>
      <c r="E341" s="377"/>
      <c r="F341" s="171" t="str">
        <f t="shared" si="28"/>
        <v/>
      </c>
      <c r="G341" s="377">
        <f>SUMIFS(Data!$BC:$BC,Data!$BB:$BB,MarketProfile!A341,Data!BG:BG,"0")/1000</f>
        <v>0</v>
      </c>
      <c r="H341" s="377"/>
      <c r="I341" s="171" t="str">
        <f t="shared" si="29"/>
        <v/>
      </c>
    </row>
    <row r="342" spans="1:9" x14ac:dyDescent="0.25">
      <c r="A342" s="235" t="s">
        <v>430</v>
      </c>
      <c r="B342" s="235"/>
      <c r="C342" s="3">
        <f>SUMIFS(Data!$AA:$AA,Data!$Z:$Z,MarketProfile!A342,Data!$AE:$AE,"0")/1000</f>
        <v>11401.612999999999</v>
      </c>
      <c r="D342" s="377">
        <f>SUMIFS(Data!$AO:$AO,Data!$AN:$AN,MarketProfile!A342,Data!$AS:$AS,"0")/1000</f>
        <v>16111.129779999999</v>
      </c>
      <c r="E342" s="377"/>
      <c r="F342" s="171">
        <f t="shared" si="28"/>
        <v>-0.29231449589874758</v>
      </c>
      <c r="G342" s="377">
        <f>SUMIFS(Data!$BC:$BC,Data!$BB:$BB,MarketProfile!A342,Data!BG:BG,"0")/1000</f>
        <v>4051.4173300000002</v>
      </c>
      <c r="H342" s="377"/>
      <c r="I342" s="171">
        <f t="shared" si="29"/>
        <v>1.814228224669217</v>
      </c>
    </row>
    <row r="343" spans="1:9" x14ac:dyDescent="0.25">
      <c r="A343" s="235" t="s">
        <v>431</v>
      </c>
      <c r="B343" s="235"/>
      <c r="C343" s="3">
        <f>SUMIFS(Data!$AA:$AA,Data!$Z:$Z,MarketProfile!A343,Data!$AE:$AE,"0")/1000</f>
        <v>58650.432529999998</v>
      </c>
      <c r="D343" s="377">
        <f>SUMIFS(Data!$AO:$AO,Data!$AN:$AN,MarketProfile!A343,Data!$AS:$AS,"0")/1000</f>
        <v>84908.950689999998</v>
      </c>
      <c r="E343" s="377"/>
      <c r="F343" s="171">
        <f>IFERROR(IF(OR(AND(D343="",C343=""),AND(D343=0,C343=0)),"",
IF(OR(D343="",D343=0),1,
IF(OR(D343&lt;&gt;"",D343&lt;&gt;0),(C343-D343)/ABS(D343)))),-1)</f>
        <v>-0.30925500723556287</v>
      </c>
      <c r="G343" s="377">
        <f>SUMIFS(Data!$BC:$BC,Data!$BB:$BB,MarketProfile!A343,Data!BG:BG,"0")/1000</f>
        <v>223115.26376</v>
      </c>
      <c r="H343" s="377"/>
      <c r="I343" s="171">
        <f t="shared" si="29"/>
        <v>-0.73712944806371961</v>
      </c>
    </row>
    <row r="344" spans="1:9" x14ac:dyDescent="0.25">
      <c r="A344" s="235" t="s">
        <v>432</v>
      </c>
      <c r="B344" s="235"/>
      <c r="C344" s="3">
        <f>SUMIFS(Data!$AA:$AA,Data!$Z:$Z,MarketProfile!A344,Data!$AE:$AE,"0")/1000</f>
        <v>0</v>
      </c>
      <c r="D344" s="377">
        <f>SUMIFS(Data!$AO:$AO,Data!$AN:$AN,MarketProfile!A344,Data!$AS:$AS,"0")/1000</f>
        <v>0</v>
      </c>
      <c r="E344" s="377"/>
      <c r="F344" s="171" t="str">
        <f t="shared" si="28"/>
        <v/>
      </c>
      <c r="G344" s="377">
        <f>SUMIFS(Data!$BC:$BC,Data!$BB:$BB,MarketProfile!A344,Data!BG:BG,"0")/1000</f>
        <v>0</v>
      </c>
      <c r="H344" s="377"/>
      <c r="I344" s="171" t="str">
        <f t="shared" si="29"/>
        <v/>
      </c>
    </row>
    <row r="345" spans="1:9" x14ac:dyDescent="0.25">
      <c r="A345" s="235" t="s">
        <v>127</v>
      </c>
      <c r="B345" s="235"/>
      <c r="C345" s="3">
        <f>SUMIFS(Data!$AA:$AA,Data!$Z:$Z,MarketProfile!A345,Data!$AE:$AE,"0")/1000</f>
        <v>0</v>
      </c>
      <c r="D345" s="377">
        <f>SUMIFS(Data!$AO:$AO,Data!$AN:$AN,MarketProfile!A345,Data!$AS:$AS,"0")/1000</f>
        <v>0</v>
      </c>
      <c r="E345" s="377"/>
      <c r="F345" s="171" t="str">
        <f t="shared" si="28"/>
        <v/>
      </c>
      <c r="G345" s="377">
        <f>SUMIFS(Data!$BC:$BC,Data!$BB:$BB,MarketProfile!A345,Data!BG:BG,"0")/1000</f>
        <v>0</v>
      </c>
      <c r="H345" s="377"/>
      <c r="I345" s="171" t="str">
        <f t="shared" si="29"/>
        <v/>
      </c>
    </row>
    <row r="346" spans="1:9" x14ac:dyDescent="0.25">
      <c r="A346" s="234" t="s">
        <v>165</v>
      </c>
      <c r="B346" s="235"/>
      <c r="C346" s="4">
        <f>SUM(C338:C345)</f>
        <v>127697.34776</v>
      </c>
      <c r="D346" s="378">
        <f>SUM(D338:E345)</f>
        <v>161244.30303000001</v>
      </c>
      <c r="E346" s="378">
        <f>SUM(E338:E345)</f>
        <v>0</v>
      </c>
      <c r="F346" s="160">
        <f t="shared" si="28"/>
        <v>-0.20805048389063699</v>
      </c>
      <c r="G346" s="378">
        <f>SUM(G338:H345)</f>
        <v>355088.44983</v>
      </c>
      <c r="H346" s="378">
        <f>SUM(H338:H345)</f>
        <v>0</v>
      </c>
      <c r="I346" s="160">
        <f t="shared" si="29"/>
        <v>-0.64037876247133463</v>
      </c>
    </row>
    <row r="347" spans="1:9" x14ac:dyDescent="0.25">
      <c r="A347" s="132" t="s">
        <v>124</v>
      </c>
      <c r="B347" s="132"/>
      <c r="C347" s="162"/>
      <c r="D347" s="132"/>
      <c r="E347" s="132"/>
      <c r="F347" s="132" t="s">
        <v>168</v>
      </c>
      <c r="G347" s="132"/>
      <c r="H347" s="132"/>
      <c r="I347" s="161" t="s">
        <v>168</v>
      </c>
    </row>
    <row r="348" spans="1:9" x14ac:dyDescent="0.25">
      <c r="A348" s="134" t="s">
        <v>14</v>
      </c>
      <c r="B348" s="235"/>
      <c r="C348" s="3"/>
      <c r="D348" s="235"/>
      <c r="E348" s="235"/>
      <c r="F348" s="235"/>
      <c r="G348" s="235"/>
      <c r="H348" s="235"/>
      <c r="I348" s="171"/>
    </row>
    <row r="349" spans="1:9" x14ac:dyDescent="0.25">
      <c r="A349" s="235" t="s">
        <v>428</v>
      </c>
      <c r="B349" s="235"/>
      <c r="C349" s="3">
        <f>SUMIFS(Data!$AK:$AK,Data!$AG:$AG,MarketProfile!A349,Data!$AL:$AL,"1")</f>
        <v>21762</v>
      </c>
      <c r="D349" s="377">
        <f>SUMIFS(Data!$AY:$AY,Data!$AU:$AU,MarketProfile!A349,Data!$AZ:$AZ,"1")</f>
        <v>24126</v>
      </c>
      <c r="E349" s="377"/>
      <c r="F349" s="171">
        <f t="shared" ref="F349:F364" si="30">IFERROR(IF(OR(AND(D349="",C349=""),AND(D349=0,C349=0)),"",
IF(OR(D349="",D349=0),1,
IF(OR(D349&lt;&gt;"",D349&lt;&gt;0),(C349-D349)/ABS(D349)))),-1)</f>
        <v>-9.7985575727430982E-2</v>
      </c>
      <c r="G349" s="377">
        <f>SUMIFS(Data!$BL:$BL,Data!$BH:$BH,MarketProfile!A349,Data!$BM:$BM,"1")</f>
        <v>26220</v>
      </c>
      <c r="H349" s="377"/>
      <c r="I349" s="171">
        <f t="shared" ref="I349:I356" si="31">IFERROR(IF(OR(AND(G349="",C349=""),AND(G349=0,C349=0)),"",
IF(OR(G349="",G349=0),1,
IF(OR(G349&lt;&gt;"",G349&lt;&gt;0),(C349-G349)/ABS(G349)))),-1)</f>
        <v>-0.17002288329519452</v>
      </c>
    </row>
    <row r="350" spans="1:9" x14ac:dyDescent="0.25">
      <c r="A350" s="235" t="s">
        <v>161</v>
      </c>
      <c r="B350" s="235"/>
      <c r="C350" s="3">
        <f>SUMIFS(Data!$AK:$AK,Data!$AG:$AG,MarketProfile!A350,Data!$AL:$AL,"1")</f>
        <v>11423</v>
      </c>
      <c r="D350" s="377">
        <f>SUMIFS(Data!$AY:$AY,Data!$AU:$AU,MarketProfile!A350,Data!$AZ:$AZ,"1")</f>
        <v>12734</v>
      </c>
      <c r="E350" s="377"/>
      <c r="F350" s="171">
        <f t="shared" si="30"/>
        <v>-0.10295272498822051</v>
      </c>
      <c r="G350" s="377">
        <f>SUMIFS(Data!$BL:$BL,Data!$BH:$BH,MarketProfile!A350,Data!$BM:$BM,"1")</f>
        <v>11183</v>
      </c>
      <c r="H350" s="377"/>
      <c r="I350" s="171">
        <f t="shared" si="31"/>
        <v>2.146114638290262E-2</v>
      </c>
    </row>
    <row r="351" spans="1:9" x14ac:dyDescent="0.25">
      <c r="A351" s="235" t="s">
        <v>429</v>
      </c>
      <c r="B351" s="235"/>
      <c r="C351" s="3">
        <f>SUMIFS(Data!$AK:$AK,Data!$AG:$AG,MarketProfile!A351,Data!$AL:$AL,"1")</f>
        <v>47334</v>
      </c>
      <c r="D351" s="377">
        <f>SUMIFS(Data!$AY:$AY,Data!$AU:$AU,MarketProfile!A351,Data!$AZ:$AZ,"1")</f>
        <v>42541</v>
      </c>
      <c r="E351" s="377"/>
      <c r="F351" s="171">
        <f t="shared" si="30"/>
        <v>0.11266777931877484</v>
      </c>
      <c r="G351" s="377">
        <f>SUMIFS(Data!$BL:$BL,Data!$BH:$BH,MarketProfile!A351,Data!$BM:$BM,"1")</f>
        <v>35419</v>
      </c>
      <c r="H351" s="377"/>
      <c r="I351" s="171">
        <f t="shared" si="31"/>
        <v>0.33640136649820718</v>
      </c>
    </row>
    <row r="352" spans="1:9" x14ac:dyDescent="0.25">
      <c r="A352" s="235" t="s">
        <v>126</v>
      </c>
      <c r="B352" s="235"/>
      <c r="C352" s="3">
        <f>SUMIFS(Data!$AK:$AK,Data!$AG:$AG,MarketProfile!A352,Data!$AL:$AL,"1")</f>
        <v>403</v>
      </c>
      <c r="D352" s="377">
        <f>SUMIFS(Data!$AY:$AY,Data!$AU:$AU,MarketProfile!A352,Data!$AZ:$AZ,"1")</f>
        <v>405</v>
      </c>
      <c r="E352" s="377"/>
      <c r="F352" s="171">
        <f t="shared" si="30"/>
        <v>-4.9382716049382715E-3</v>
      </c>
      <c r="G352" s="377">
        <f>SUMIFS(Data!$BL:$BL,Data!$BH:$BH,MarketProfile!A352,Data!$BM:$BM,"1")</f>
        <v>179</v>
      </c>
      <c r="H352" s="377"/>
      <c r="I352" s="171">
        <f t="shared" si="31"/>
        <v>1.2513966480446927</v>
      </c>
    </row>
    <row r="353" spans="1:9" x14ac:dyDescent="0.25">
      <c r="A353" s="235" t="s">
        <v>430</v>
      </c>
      <c r="B353" s="235"/>
      <c r="C353" s="3">
        <f>SUMIFS(Data!$AK:$AK,Data!$AG:$AG,MarketProfile!A353,Data!$AL:$AL,"1")</f>
        <v>4540</v>
      </c>
      <c r="D353" s="377">
        <f>SUMIFS(Data!$AY:$AY,Data!$AU:$AU,MarketProfile!A353,Data!$AZ:$AZ,"1")</f>
        <v>3726</v>
      </c>
      <c r="E353" s="377"/>
      <c r="F353" s="171">
        <f t="shared" si="30"/>
        <v>0.21846484165324745</v>
      </c>
      <c r="G353" s="377">
        <f>SUMIFS(Data!$BL:$BL,Data!$BH:$BH,MarketProfile!A353,Data!$BM:$BM,"1")</f>
        <v>5886</v>
      </c>
      <c r="H353" s="377"/>
      <c r="I353" s="171">
        <f t="shared" si="31"/>
        <v>-0.22867821950390757</v>
      </c>
    </row>
    <row r="354" spans="1:9" x14ac:dyDescent="0.25">
      <c r="A354" s="235" t="s">
        <v>431</v>
      </c>
      <c r="B354" s="235"/>
      <c r="C354" s="3">
        <f>SUMIFS(Data!$AK:$AK,Data!$AG:$AG,MarketProfile!A354,Data!$AL:$AL,"1")</f>
        <v>34393</v>
      </c>
      <c r="D354" s="377">
        <f>SUMIFS(Data!$AY:$AY,Data!$AU:$AU,MarketProfile!A354,Data!$AZ:$AZ,"1")</f>
        <v>35478</v>
      </c>
      <c r="E354" s="377"/>
      <c r="F354" s="171">
        <f t="shared" si="30"/>
        <v>-3.0582332713230735E-2</v>
      </c>
      <c r="G354" s="377">
        <f>SUMIFS(Data!$BL:$BL,Data!$BH:$BH,MarketProfile!A354,Data!$BM:$BM,"1")</f>
        <v>34041</v>
      </c>
      <c r="H354" s="377"/>
      <c r="I354" s="171">
        <f t="shared" si="31"/>
        <v>1.0340471784025146E-2</v>
      </c>
    </row>
    <row r="355" spans="1:9" x14ac:dyDescent="0.25">
      <c r="A355" s="235" t="s">
        <v>432</v>
      </c>
      <c r="B355" s="235"/>
      <c r="C355" s="3">
        <f>SUMIFS(Data!$AK:$AK,Data!$AG:$AG,MarketProfile!A355,Data!$AL:$AL,"1")</f>
        <v>131</v>
      </c>
      <c r="D355" s="377">
        <f>SUMIFS(Data!$AY:$AY,Data!$AU:$AU,MarketProfile!A355,Data!$AZ:$AZ,"1")</f>
        <v>96</v>
      </c>
      <c r="E355" s="377"/>
      <c r="F355" s="171">
        <f t="shared" si="30"/>
        <v>0.36458333333333331</v>
      </c>
      <c r="G355" s="377">
        <f>SUMIFS(Data!$BL:$BL,Data!$BH:$BH,MarketProfile!A355,Data!$BM:$BM,"1")</f>
        <v>88</v>
      </c>
      <c r="H355" s="377"/>
      <c r="I355" s="171">
        <f t="shared" si="31"/>
        <v>0.48863636363636365</v>
      </c>
    </row>
    <row r="356" spans="1:9" x14ac:dyDescent="0.25">
      <c r="A356" s="235" t="s">
        <v>127</v>
      </c>
      <c r="B356" s="235"/>
      <c r="C356" s="3">
        <f>SUMIFS(Data!$AK:$AK,Data!$AG:$AG,MarketProfile!A356,Data!$AL:$AL,"1")</f>
        <v>3</v>
      </c>
      <c r="D356" s="377">
        <f>SUMIFS(Data!$AY:$AY,Data!$AU:$AU,MarketProfile!A356,Data!$AZ:$AZ,"1")</f>
        <v>8</v>
      </c>
      <c r="E356" s="377"/>
      <c r="F356" s="171">
        <f t="shared" si="30"/>
        <v>-0.625</v>
      </c>
      <c r="G356" s="377">
        <f>SUMIFS(Data!$BL:$BL,Data!$BH:$BH,MarketProfile!A356,Data!$BM:$BM,"1")</f>
        <v>9</v>
      </c>
      <c r="H356" s="377"/>
      <c r="I356" s="171">
        <f t="shared" si="31"/>
        <v>-0.66666666666666663</v>
      </c>
    </row>
    <row r="357" spans="1:9" x14ac:dyDescent="0.25">
      <c r="A357" s="134" t="s">
        <v>15</v>
      </c>
      <c r="B357" s="235"/>
      <c r="C357" s="3"/>
      <c r="D357" s="235"/>
      <c r="E357" s="3"/>
      <c r="F357" s="171"/>
      <c r="G357" s="235"/>
      <c r="H357" s="3"/>
      <c r="I357" s="171"/>
    </row>
    <row r="358" spans="1:9" x14ac:dyDescent="0.25">
      <c r="A358" s="235" t="s">
        <v>428</v>
      </c>
      <c r="B358" s="235"/>
      <c r="C358" s="3">
        <f>SUMIFS(Data!$AK:$AK,Data!$AG:$AG,MarketProfile!A358,Data!$AL:$AL,"0")</f>
        <v>43</v>
      </c>
      <c r="D358" s="377">
        <f>SUMIFS(Data!$AY:$AY,Data!$AU:$AU,MarketProfile!A358,Data!$AZ:$AZ,"0")</f>
        <v>1059</v>
      </c>
      <c r="E358" s="377"/>
      <c r="F358" s="171">
        <f t="shared" si="30"/>
        <v>-0.95939565627950896</v>
      </c>
      <c r="G358" s="377">
        <f>SUMIFS(Data!$BL:$BL,Data!$BH:$BH,MarketProfile!A358,Data!$BM:$BM,"0")</f>
        <v>36</v>
      </c>
      <c r="H358" s="377"/>
      <c r="I358" s="171">
        <f t="shared" ref="I358:I365" si="32">IFERROR(IF(OR(AND(G358="",C358=""),AND(G358=0,C358=0)),"",
IF(OR(G358="",G358=0),1,
IF(OR(G358&lt;&gt;"",G358&lt;&gt;0),(C358-G358)/ABS(G358)))),-1)</f>
        <v>0.19444444444444445</v>
      </c>
    </row>
    <row r="359" spans="1:9" x14ac:dyDescent="0.25">
      <c r="A359" s="235" t="s">
        <v>161</v>
      </c>
      <c r="B359" s="235"/>
      <c r="C359" s="3">
        <f>SUMIFS(Data!$AK:$AK,Data!$AG:$AG,MarketProfile!A359,Data!$AL:$AL,"0")</f>
        <v>491</v>
      </c>
      <c r="D359" s="377">
        <f>SUMIFS(Data!$AY:$AY,Data!$AU:$AU,MarketProfile!A359,Data!$AZ:$AZ,"0")</f>
        <v>2748</v>
      </c>
      <c r="E359" s="377"/>
      <c r="F359" s="171">
        <f t="shared" si="30"/>
        <v>-0.82132459970887917</v>
      </c>
      <c r="G359" s="377">
        <f>SUMIFS(Data!$BL:$BL,Data!$BH:$BH,MarketProfile!A359,Data!$BM:$BM,"0")</f>
        <v>4008</v>
      </c>
      <c r="H359" s="377"/>
      <c r="I359" s="171">
        <f t="shared" si="32"/>
        <v>-0.87749500998003993</v>
      </c>
    </row>
    <row r="360" spans="1:9" x14ac:dyDescent="0.25">
      <c r="A360" s="235" t="s">
        <v>429</v>
      </c>
      <c r="B360" s="235"/>
      <c r="C360" s="3">
        <f>SUMIFS(Data!$AK:$AK,Data!$AG:$AG,MarketProfile!A360,Data!$AL:$AL,"0")</f>
        <v>8822</v>
      </c>
      <c r="D360" s="377">
        <f>SUMIFS(Data!$AY:$AY,Data!$AU:$AU,MarketProfile!A360,Data!$AZ:$AZ,"0")</f>
        <v>18789</v>
      </c>
      <c r="E360" s="377"/>
      <c r="F360" s="171">
        <f t="shared" si="30"/>
        <v>-0.53046995582521683</v>
      </c>
      <c r="G360" s="377">
        <f>SUMIFS(Data!$BL:$BL,Data!$BH:$BH,MarketProfile!A360,Data!$BM:$BM,"0")</f>
        <v>16163</v>
      </c>
      <c r="H360" s="377"/>
      <c r="I360" s="171">
        <f t="shared" si="32"/>
        <v>-0.45418548536781539</v>
      </c>
    </row>
    <row r="361" spans="1:9" x14ac:dyDescent="0.25">
      <c r="A361" s="235" t="s">
        <v>126</v>
      </c>
      <c r="B361" s="235"/>
      <c r="C361" s="3">
        <f>SUMIFS(Data!$AK:$AK,Data!$AG:$AG,MarketProfile!A361,Data!$AL:$AL,"0")</f>
        <v>0</v>
      </c>
      <c r="D361" s="377">
        <f>SUMIFS(Data!$AY:$AY,Data!$AU:$AU,MarketProfile!A361,Data!$AZ:$AZ,"0")</f>
        <v>0</v>
      </c>
      <c r="E361" s="377"/>
      <c r="F361" s="171" t="str">
        <f t="shared" si="30"/>
        <v/>
      </c>
      <c r="G361" s="377">
        <f>SUMIFS(Data!$BL:$BL,Data!$BH:$BH,MarketProfile!A361,Data!$BM:$BM,"0")</f>
        <v>0</v>
      </c>
      <c r="H361" s="377"/>
      <c r="I361" s="171" t="str">
        <f t="shared" si="32"/>
        <v/>
      </c>
    </row>
    <row r="362" spans="1:9" x14ac:dyDescent="0.25">
      <c r="A362" s="235" t="s">
        <v>430</v>
      </c>
      <c r="B362" s="235"/>
      <c r="C362" s="3">
        <f>SUMIFS(Data!$AK:$AK,Data!$AG:$AG,MarketProfile!A362,Data!$AL:$AL,"0")</f>
        <v>1168</v>
      </c>
      <c r="D362" s="377">
        <f>SUMIFS(Data!$AY:$AY,Data!$AU:$AU,MarketProfile!A362,Data!$AZ:$AZ,"0")</f>
        <v>2193</v>
      </c>
      <c r="E362" s="377"/>
      <c r="F362" s="171">
        <f t="shared" si="30"/>
        <v>-0.46739626082991337</v>
      </c>
      <c r="G362" s="377">
        <f>SUMIFS(Data!$BL:$BL,Data!$BH:$BH,MarketProfile!A362,Data!$BM:$BM,"0")</f>
        <v>997</v>
      </c>
      <c r="H362" s="377"/>
      <c r="I362" s="171">
        <f t="shared" si="32"/>
        <v>0.17151454363089269</v>
      </c>
    </row>
    <row r="363" spans="1:9" x14ac:dyDescent="0.25">
      <c r="A363" s="235" t="s">
        <v>431</v>
      </c>
      <c r="B363" s="235"/>
      <c r="C363" s="3">
        <f>SUMIFS(Data!$AK:$AK,Data!$AG:$AG,MarketProfile!A363,Data!$AL:$AL,"0")</f>
        <v>9661</v>
      </c>
      <c r="D363" s="377">
        <f>SUMIFS(Data!$AY:$AY,Data!$AU:$AU,MarketProfile!A363,Data!$AZ:$AZ,"0")</f>
        <v>21248</v>
      </c>
      <c r="E363" s="377"/>
      <c r="F363" s="171">
        <f t="shared" si="30"/>
        <v>-0.54532191265060237</v>
      </c>
      <c r="G363" s="377">
        <f>SUMIFS(Data!$BL:$BL,Data!$BH:$BH,MarketProfile!A363,Data!$BM:$BM,"0")</f>
        <v>20358</v>
      </c>
      <c r="H363" s="377"/>
      <c r="I363" s="171">
        <f t="shared" si="32"/>
        <v>-0.525444542685922</v>
      </c>
    </row>
    <row r="364" spans="1:9" x14ac:dyDescent="0.25">
      <c r="A364" s="235" t="s">
        <v>432</v>
      </c>
      <c r="B364" s="235"/>
      <c r="C364" s="3">
        <f>SUMIFS(Data!$AK:$AK,Data!$AG:$AG,MarketProfile!A364,Data!$AL:$AL,"0")</f>
        <v>0</v>
      </c>
      <c r="D364" s="377">
        <f>SUMIFS(Data!$AY:$AY,Data!$AU:$AU,MarketProfile!A364,Data!$AZ:$AZ,"0")</f>
        <v>0</v>
      </c>
      <c r="E364" s="377"/>
      <c r="F364" s="171" t="str">
        <f t="shared" si="30"/>
        <v/>
      </c>
      <c r="G364" s="377">
        <f>SUMIFS(Data!$BL:$BL,Data!$BH:$BH,MarketProfile!A364,Data!$BM:$BM,"0")</f>
        <v>0</v>
      </c>
      <c r="H364" s="377"/>
      <c r="I364" s="171" t="str">
        <f t="shared" si="32"/>
        <v/>
      </c>
    </row>
    <row r="365" spans="1:9" x14ac:dyDescent="0.25">
      <c r="A365" s="235" t="s">
        <v>127</v>
      </c>
      <c r="B365" s="235"/>
      <c r="C365" s="3">
        <f>SUMIFS(Data!$AK:$AK,Data!$AG:$AG,MarketProfile!A365,Data!$AL:$AL,"0")</f>
        <v>0</v>
      </c>
      <c r="D365" s="377">
        <f>SUMIFS(Data!$AY:$AY,Data!$AU:$AU,MarketProfile!A365,Data!$AZ:$AZ,"0")</f>
        <v>0</v>
      </c>
      <c r="E365" s="377"/>
      <c r="F365" s="171" t="str">
        <f t="shared" ref="F365" si="33">IFERROR(IF(OR(AND(C365="",D365=""),AND(C365=0,D365=0)),"",
IF(OR(C365="",C365=0),1,
IF(OR(C365&lt;&gt;"",C365&lt;&gt;0),(D365-C365)/ABS(C365)))),-1)</f>
        <v/>
      </c>
      <c r="G365" s="377">
        <f>SUMIFS(Data!$BL:$BL,Data!$BH:$BH,MarketProfile!A365,Data!$BM:$BM,"0")</f>
        <v>0</v>
      </c>
      <c r="H365" s="377"/>
      <c r="I365" s="171" t="str">
        <f t="shared" si="32"/>
        <v/>
      </c>
    </row>
    <row r="366" spans="1:9" x14ac:dyDescent="0.25">
      <c r="A366" s="235"/>
      <c r="B366" s="235"/>
      <c r="C366" s="235"/>
      <c r="D366" s="235"/>
      <c r="E366" s="235"/>
      <c r="F366" s="235"/>
      <c r="G366" s="235"/>
      <c r="H366" s="235"/>
      <c r="I366" s="235"/>
    </row>
  </sheetData>
  <mergeCells count="162">
    <mergeCell ref="D286:E286"/>
    <mergeCell ref="G286:H286"/>
    <mergeCell ref="F96:H97"/>
    <mergeCell ref="G107:H107"/>
    <mergeCell ref="G8:I9"/>
    <mergeCell ref="A13:A15"/>
    <mergeCell ref="G109:H109"/>
    <mergeCell ref="G110:H110"/>
    <mergeCell ref="G111:H111"/>
    <mergeCell ref="D107:E107"/>
    <mergeCell ref="D109:E109"/>
    <mergeCell ref="D110:E110"/>
    <mergeCell ref="D111:E111"/>
    <mergeCell ref="E198:H199"/>
    <mergeCell ref="A281:A282"/>
    <mergeCell ref="G200:G202"/>
    <mergeCell ref="E281:I282"/>
    <mergeCell ref="F127:I127"/>
    <mergeCell ref="E201:E202"/>
    <mergeCell ref="F201:F202"/>
    <mergeCell ref="I201:I202"/>
    <mergeCell ref="H200:H202"/>
    <mergeCell ref="A261:C262"/>
    <mergeCell ref="F123:H124"/>
    <mergeCell ref="D292:E292"/>
    <mergeCell ref="D293:E293"/>
    <mergeCell ref="D294:E294"/>
    <mergeCell ref="D296:E296"/>
    <mergeCell ref="D297:E297"/>
    <mergeCell ref="D287:E287"/>
    <mergeCell ref="D288:E288"/>
    <mergeCell ref="D289:E289"/>
    <mergeCell ref="D290:E290"/>
    <mergeCell ref="D291:E291"/>
    <mergeCell ref="D303:E303"/>
    <mergeCell ref="D304:E304"/>
    <mergeCell ref="D307:E307"/>
    <mergeCell ref="D308:E308"/>
    <mergeCell ref="D309:E309"/>
    <mergeCell ref="D298:E298"/>
    <mergeCell ref="D299:E299"/>
    <mergeCell ref="D300:E300"/>
    <mergeCell ref="D301:E301"/>
    <mergeCell ref="D302:E302"/>
    <mergeCell ref="D333:E333"/>
    <mergeCell ref="D317:E317"/>
    <mergeCell ref="D318:E318"/>
    <mergeCell ref="D319:E319"/>
    <mergeCell ref="D320:E320"/>
    <mergeCell ref="D310:E310"/>
    <mergeCell ref="D311:E311"/>
    <mergeCell ref="D312:E312"/>
    <mergeCell ref="D313:E313"/>
    <mergeCell ref="D314:E314"/>
    <mergeCell ref="D344:E344"/>
    <mergeCell ref="D345:E345"/>
    <mergeCell ref="D346:E346"/>
    <mergeCell ref="D349:E349"/>
    <mergeCell ref="D350:E350"/>
    <mergeCell ref="D339:E339"/>
    <mergeCell ref="D340:E340"/>
    <mergeCell ref="D341:E341"/>
    <mergeCell ref="D342:E342"/>
    <mergeCell ref="D343:E343"/>
    <mergeCell ref="D356:E356"/>
    <mergeCell ref="D358:E358"/>
    <mergeCell ref="D359:E359"/>
    <mergeCell ref="D360:E360"/>
    <mergeCell ref="D361:E361"/>
    <mergeCell ref="D351:E351"/>
    <mergeCell ref="D352:E352"/>
    <mergeCell ref="D353:E353"/>
    <mergeCell ref="D354:E354"/>
    <mergeCell ref="D355:E355"/>
    <mergeCell ref="G287:H287"/>
    <mergeCell ref="G288:H288"/>
    <mergeCell ref="G289:H289"/>
    <mergeCell ref="G290:H290"/>
    <mergeCell ref="G291:H291"/>
    <mergeCell ref="G292:H292"/>
    <mergeCell ref="G293:H293"/>
    <mergeCell ref="G294:H294"/>
    <mergeCell ref="G299:H299"/>
    <mergeCell ref="G296:H296"/>
    <mergeCell ref="G297:H297"/>
    <mergeCell ref="G298:H298"/>
    <mergeCell ref="G300:H300"/>
    <mergeCell ref="G301:H301"/>
    <mergeCell ref="G302:H302"/>
    <mergeCell ref="G303:H303"/>
    <mergeCell ref="D362:E362"/>
    <mergeCell ref="D363:E363"/>
    <mergeCell ref="D364:E364"/>
    <mergeCell ref="D365:E365"/>
    <mergeCell ref="D334:E334"/>
    <mergeCell ref="D335:E335"/>
    <mergeCell ref="D336:E336"/>
    <mergeCell ref="D338:E338"/>
    <mergeCell ref="D328:E328"/>
    <mergeCell ref="D329:E329"/>
    <mergeCell ref="D330:E330"/>
    <mergeCell ref="D331:E331"/>
    <mergeCell ref="D332:E332"/>
    <mergeCell ref="D321:E321"/>
    <mergeCell ref="D322:E322"/>
    <mergeCell ref="D323:E323"/>
    <mergeCell ref="D324:E324"/>
    <mergeCell ref="D325:E325"/>
    <mergeCell ref="D315:E315"/>
    <mergeCell ref="G311:H311"/>
    <mergeCell ref="G312:H312"/>
    <mergeCell ref="G313:H313"/>
    <mergeCell ref="G314:H314"/>
    <mergeCell ref="G315:H315"/>
    <mergeCell ref="G304:H304"/>
    <mergeCell ref="G307:H307"/>
    <mergeCell ref="G308:H308"/>
    <mergeCell ref="G309:H309"/>
    <mergeCell ref="G310:H310"/>
    <mergeCell ref="G322:H322"/>
    <mergeCell ref="G323:H323"/>
    <mergeCell ref="G324:H324"/>
    <mergeCell ref="G325:H325"/>
    <mergeCell ref="G328:H328"/>
    <mergeCell ref="G317:H317"/>
    <mergeCell ref="G318:H318"/>
    <mergeCell ref="G319:H319"/>
    <mergeCell ref="G320:H320"/>
    <mergeCell ref="G321:H321"/>
    <mergeCell ref="G334:H334"/>
    <mergeCell ref="G335:H335"/>
    <mergeCell ref="G336:H336"/>
    <mergeCell ref="G338:H338"/>
    <mergeCell ref="G339:H339"/>
    <mergeCell ref="G329:H329"/>
    <mergeCell ref="G330:H330"/>
    <mergeCell ref="G331:H331"/>
    <mergeCell ref="G332:H332"/>
    <mergeCell ref="G333:H333"/>
    <mergeCell ref="G363:H363"/>
    <mergeCell ref="G364:H364"/>
    <mergeCell ref="G365:H365"/>
    <mergeCell ref="G358:H358"/>
    <mergeCell ref="G359:H359"/>
    <mergeCell ref="G360:H360"/>
    <mergeCell ref="G361:H361"/>
    <mergeCell ref="G362:H362"/>
    <mergeCell ref="G352:H352"/>
    <mergeCell ref="G353:H353"/>
    <mergeCell ref="G354:H354"/>
    <mergeCell ref="G355:H355"/>
    <mergeCell ref="G356:H356"/>
    <mergeCell ref="G345:H345"/>
    <mergeCell ref="G346:H346"/>
    <mergeCell ref="G349:H349"/>
    <mergeCell ref="G350:H350"/>
    <mergeCell ref="G351:H351"/>
    <mergeCell ref="G340:H340"/>
    <mergeCell ref="G341:H341"/>
    <mergeCell ref="G342:H342"/>
    <mergeCell ref="G343:H343"/>
    <mergeCell ref="G344:H344"/>
  </mergeCells>
  <hyperlinks>
    <hyperlink ref="A257" r:id="rId1" display="https://www.jse.co.za/trade/derivative-market/equity-derivatives/reports" xr:uid="{00000000-0004-0000-0000-000000000000}"/>
    <hyperlink ref="A259"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1" manualBreakCount="1">
    <brk id="276"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199" t="s">
        <v>524</v>
      </c>
      <c r="G1" s="199" t="s">
        <v>522</v>
      </c>
      <c r="H1" s="199" t="s">
        <v>523</v>
      </c>
      <c r="I1" s="148" t="s">
        <v>191</v>
      </c>
      <c r="J1" s="148" t="s">
        <v>193</v>
      </c>
      <c r="K1" s="223" t="s">
        <v>525</v>
      </c>
      <c r="L1" s="223" t="s">
        <v>526</v>
      </c>
      <c r="M1" s="225" t="s">
        <v>523</v>
      </c>
      <c r="N1" s="148" t="s">
        <v>196</v>
      </c>
      <c r="O1" s="230" t="s">
        <v>491</v>
      </c>
      <c r="P1" s="230" t="s">
        <v>492</v>
      </c>
      <c r="Q1" s="230" t="s">
        <v>493</v>
      </c>
      <c r="R1" s="148" t="s">
        <v>419</v>
      </c>
      <c r="S1" s="242"/>
      <c r="T1" s="245"/>
      <c r="U1" s="245"/>
      <c r="V1" s="245"/>
      <c r="W1" s="245"/>
      <c r="X1" s="245"/>
      <c r="Y1" s="240" t="s">
        <v>425</v>
      </c>
      <c r="Z1" s="242" t="s">
        <v>488</v>
      </c>
      <c r="AA1" s="242" t="s">
        <v>629</v>
      </c>
      <c r="AB1" s="242" t="s">
        <v>630</v>
      </c>
      <c r="AC1" s="242" t="s">
        <v>631</v>
      </c>
      <c r="AD1" s="242" t="s">
        <v>632</v>
      </c>
      <c r="AE1" s="242" t="s">
        <v>633</v>
      </c>
      <c r="AF1" s="240" t="s">
        <v>433</v>
      </c>
      <c r="AG1" s="242" t="s">
        <v>488</v>
      </c>
      <c r="AH1" s="242" t="s">
        <v>629</v>
      </c>
      <c r="AI1" s="242" t="s">
        <v>630</v>
      </c>
      <c r="AJ1" s="242" t="s">
        <v>631</v>
      </c>
      <c r="AK1" s="242" t="s">
        <v>632</v>
      </c>
      <c r="AL1" s="242" t="s">
        <v>633</v>
      </c>
      <c r="AM1" s="240" t="s">
        <v>427</v>
      </c>
      <c r="AN1" s="242" t="s">
        <v>488</v>
      </c>
      <c r="AO1" s="242" t="s">
        <v>629</v>
      </c>
      <c r="AP1" s="242" t="s">
        <v>630</v>
      </c>
      <c r="AQ1" s="242" t="s">
        <v>631</v>
      </c>
      <c r="AR1" s="242" t="s">
        <v>632</v>
      </c>
      <c r="AS1" s="242" t="s">
        <v>633</v>
      </c>
      <c r="AT1" s="240" t="s">
        <v>434</v>
      </c>
      <c r="AU1" s="242" t="s">
        <v>488</v>
      </c>
      <c r="AV1" s="242" t="s">
        <v>629</v>
      </c>
      <c r="AW1" s="242" t="s">
        <v>630</v>
      </c>
      <c r="AX1" s="242" t="s">
        <v>631</v>
      </c>
      <c r="AY1" s="242" t="s">
        <v>632</v>
      </c>
      <c r="AZ1" s="242" t="s">
        <v>633</v>
      </c>
      <c r="BA1" s="240" t="s">
        <v>426</v>
      </c>
      <c r="BB1" s="242" t="s">
        <v>488</v>
      </c>
      <c r="BC1" s="242" t="s">
        <v>629</v>
      </c>
      <c r="BD1" s="242" t="s">
        <v>630</v>
      </c>
      <c r="BE1" s="242" t="s">
        <v>631</v>
      </c>
      <c r="BF1" s="242" t="s">
        <v>632</v>
      </c>
      <c r="BG1" s="242" t="s">
        <v>633</v>
      </c>
      <c r="BH1" s="240" t="s">
        <v>488</v>
      </c>
      <c r="BI1" s="242" t="s">
        <v>629</v>
      </c>
      <c r="BJ1" s="242" t="s">
        <v>630</v>
      </c>
      <c r="BK1" s="242" t="s">
        <v>631</v>
      </c>
      <c r="BL1" s="242" t="s">
        <v>632</v>
      </c>
      <c r="BM1" s="242" t="s">
        <v>633</v>
      </c>
      <c r="BN1" s="242"/>
      <c r="BO1" s="240" t="s">
        <v>435</v>
      </c>
      <c r="BP1" s="252" t="s">
        <v>629</v>
      </c>
      <c r="BQ1" s="252" t="s">
        <v>630</v>
      </c>
      <c r="BR1" s="252" t="s">
        <v>631</v>
      </c>
      <c r="BS1" s="249" t="s">
        <v>468</v>
      </c>
      <c r="BT1" s="254" t="s">
        <v>676</v>
      </c>
      <c r="BU1" s="254" t="s">
        <v>677</v>
      </c>
      <c r="BV1" s="254" t="s">
        <v>678</v>
      </c>
      <c r="BW1" s="254" t="s">
        <v>679</v>
      </c>
      <c r="BX1" s="254" t="s">
        <v>680</v>
      </c>
      <c r="BY1" s="254" t="s">
        <v>681</v>
      </c>
      <c r="BZ1" s="254" t="s">
        <v>682</v>
      </c>
      <c r="CA1" s="254" t="s">
        <v>683</v>
      </c>
      <c r="CB1" s="254" t="s">
        <v>684</v>
      </c>
      <c r="CC1" s="255" t="s">
        <v>469</v>
      </c>
      <c r="CD1" s="256" t="s">
        <v>689</v>
      </c>
      <c r="CE1" s="256" t="s">
        <v>690</v>
      </c>
      <c r="CF1" s="255" t="s">
        <v>474</v>
      </c>
      <c r="CG1" s="254" t="s">
        <v>6</v>
      </c>
      <c r="CH1" s="254" t="s">
        <v>691</v>
      </c>
      <c r="CI1" s="255" t="s">
        <v>476</v>
      </c>
      <c r="CJ1" s="235" t="s">
        <v>107</v>
      </c>
      <c r="CK1" s="235">
        <v>30381</v>
      </c>
      <c r="CL1" s="255" t="s">
        <v>479</v>
      </c>
      <c r="CM1" s="235" t="s">
        <v>107</v>
      </c>
      <c r="CN1" s="235">
        <v>13882</v>
      </c>
      <c r="CO1" s="255" t="s">
        <v>482</v>
      </c>
      <c r="CP1" s="235" t="s">
        <v>107</v>
      </c>
      <c r="CQ1" s="235">
        <v>800</v>
      </c>
      <c r="CR1" s="255" t="s">
        <v>485</v>
      </c>
      <c r="CS1" s="264" t="s">
        <v>695</v>
      </c>
      <c r="CT1" s="263" t="s">
        <v>696</v>
      </c>
      <c r="CU1" s="263" t="s">
        <v>697</v>
      </c>
      <c r="CV1" s="263" t="s">
        <v>698</v>
      </c>
      <c r="CW1" s="263" t="s">
        <v>699</v>
      </c>
      <c r="CX1" s="263" t="s">
        <v>700</v>
      </c>
      <c r="CY1" s="263" t="s">
        <v>701</v>
      </c>
      <c r="CZ1" s="263" t="s">
        <v>702</v>
      </c>
      <c r="DA1" s="263" t="s">
        <v>703</v>
      </c>
      <c r="DB1" s="263" t="s">
        <v>704</v>
      </c>
      <c r="DC1" s="263" t="s">
        <v>705</v>
      </c>
      <c r="DD1" s="263" t="s">
        <v>706</v>
      </c>
      <c r="DF1" s="335" t="s">
        <v>496</v>
      </c>
      <c r="DG1" s="326" t="s">
        <v>717</v>
      </c>
      <c r="DH1" s="326" t="s">
        <v>718</v>
      </c>
      <c r="DI1" s="335" t="s">
        <v>497</v>
      </c>
      <c r="DJ1" s="333" t="s">
        <v>717</v>
      </c>
      <c r="DK1" s="333" t="s">
        <v>718</v>
      </c>
      <c r="DL1" s="335" t="s">
        <v>498</v>
      </c>
      <c r="DM1" s="328" t="s">
        <v>717</v>
      </c>
      <c r="DN1" s="328" t="s">
        <v>718</v>
      </c>
    </row>
    <row r="2" spans="1:118" x14ac:dyDescent="0.25">
      <c r="B2" s="179">
        <v>8498914133</v>
      </c>
      <c r="C2" s="179">
        <v>451341473394.38641</v>
      </c>
      <c r="D2" s="179">
        <v>6640331</v>
      </c>
      <c r="E2" s="197"/>
      <c r="F2" s="199">
        <v>1724</v>
      </c>
      <c r="G2" s="199">
        <v>807253508</v>
      </c>
      <c r="H2" s="199">
        <v>41667479193.831444</v>
      </c>
      <c r="J2" s="147" t="str">
        <f>K2&amp;L2</f>
        <v>ABuy</v>
      </c>
      <c r="K2" s="222" t="s">
        <v>527</v>
      </c>
      <c r="L2" s="222" t="s">
        <v>528</v>
      </c>
      <c r="M2" s="226">
        <v>210156377798.3353</v>
      </c>
      <c r="O2" s="229">
        <v>60008229087.629997</v>
      </c>
      <c r="P2" s="229">
        <v>-77970171967.770004</v>
      </c>
      <c r="Q2" s="229">
        <v>-17961942880.139999</v>
      </c>
      <c r="S2" s="241"/>
      <c r="T2" s="246"/>
      <c r="U2" s="246"/>
      <c r="V2" s="246"/>
      <c r="W2" s="246"/>
      <c r="X2" s="246"/>
      <c r="Y2" s="233"/>
      <c r="Z2" s="241" t="s">
        <v>634</v>
      </c>
      <c r="AA2" s="241">
        <v>592144</v>
      </c>
      <c r="AB2" s="241">
        <v>102</v>
      </c>
      <c r="AC2" s="241">
        <v>38</v>
      </c>
      <c r="AD2" s="241">
        <v>68564</v>
      </c>
      <c r="AE2" s="241">
        <v>0</v>
      </c>
      <c r="AF2" s="241"/>
      <c r="AG2" s="241" t="s">
        <v>634</v>
      </c>
      <c r="AH2" s="241">
        <v>0</v>
      </c>
      <c r="AI2" s="241">
        <v>0</v>
      </c>
      <c r="AJ2" s="241">
        <v>0</v>
      </c>
      <c r="AK2" s="241">
        <v>540</v>
      </c>
      <c r="AL2" s="241">
        <v>0</v>
      </c>
      <c r="AM2" s="233"/>
      <c r="AN2" s="241" t="s">
        <v>634</v>
      </c>
      <c r="AO2" s="241">
        <v>6494693</v>
      </c>
      <c r="AP2" s="241">
        <v>887</v>
      </c>
      <c r="AQ2" s="241">
        <v>47</v>
      </c>
      <c r="AR2" s="241">
        <v>75735</v>
      </c>
      <c r="AS2" s="241">
        <v>0</v>
      </c>
      <c r="AT2" s="233"/>
      <c r="AU2" s="241" t="s">
        <v>634</v>
      </c>
      <c r="AV2" s="241">
        <v>1016674.6</v>
      </c>
      <c r="AW2" s="241">
        <v>134</v>
      </c>
      <c r="AX2" s="241">
        <v>6</v>
      </c>
      <c r="AY2" s="241">
        <v>4101</v>
      </c>
      <c r="AZ2" s="241">
        <v>0</v>
      </c>
      <c r="BA2" s="233"/>
      <c r="BB2" s="241" t="s">
        <v>634</v>
      </c>
      <c r="BC2" s="241">
        <v>2564350</v>
      </c>
      <c r="BD2" s="241">
        <v>788</v>
      </c>
      <c r="BE2" s="241">
        <v>33</v>
      </c>
      <c r="BF2" s="241">
        <v>78925</v>
      </c>
      <c r="BG2" s="241">
        <v>0</v>
      </c>
      <c r="BH2" s="235" t="s">
        <v>634</v>
      </c>
      <c r="BI2" s="241">
        <v>130338</v>
      </c>
      <c r="BJ2" s="241">
        <v>39</v>
      </c>
      <c r="BK2" s="241">
        <v>5</v>
      </c>
      <c r="BL2" s="241">
        <v>1449</v>
      </c>
      <c r="BM2" s="241">
        <v>0</v>
      </c>
      <c r="BN2" s="241"/>
      <c r="BO2" s="233"/>
      <c r="BP2" s="251"/>
      <c r="BQ2" s="251"/>
      <c r="BR2" s="251"/>
      <c r="BS2" s="233"/>
      <c r="BT2" s="253" t="s">
        <v>125</v>
      </c>
      <c r="BU2" s="253">
        <v>36</v>
      </c>
      <c r="BV2" s="253">
        <v>0</v>
      </c>
      <c r="BW2" s="253">
        <v>0</v>
      </c>
      <c r="BX2" s="253">
        <v>0</v>
      </c>
      <c r="BY2" s="253">
        <v>0</v>
      </c>
      <c r="BZ2" s="253">
        <v>36</v>
      </c>
      <c r="CA2" s="253">
        <v>26</v>
      </c>
      <c r="CB2" s="253">
        <v>10</v>
      </c>
      <c r="CC2" s="233"/>
      <c r="CD2" s="257">
        <v>1072</v>
      </c>
      <c r="CE2" s="257">
        <v>19678866357110.379</v>
      </c>
      <c r="CF2" s="233"/>
      <c r="CG2" s="253">
        <v>2021</v>
      </c>
      <c r="CH2" s="253">
        <v>21</v>
      </c>
      <c r="CI2" s="233"/>
      <c r="CJ2" s="235" t="s">
        <v>693</v>
      </c>
      <c r="CK2" s="235">
        <v>1006373532782</v>
      </c>
      <c r="CL2" s="235"/>
      <c r="CM2" s="235" t="s">
        <v>693</v>
      </c>
      <c r="CN2" s="235">
        <v>2583381720062</v>
      </c>
      <c r="CO2" s="235"/>
      <c r="CP2" s="235" t="s">
        <v>693</v>
      </c>
      <c r="CQ2" s="235">
        <v>64829024832</v>
      </c>
      <c r="CR2" s="233"/>
      <c r="CS2" s="265">
        <v>2021</v>
      </c>
      <c r="CT2" s="263">
        <v>52</v>
      </c>
      <c r="CU2" s="263" t="s">
        <v>707</v>
      </c>
      <c r="CV2" s="263">
        <v>0</v>
      </c>
      <c r="CW2" s="263">
        <v>17537145039</v>
      </c>
      <c r="CX2" s="263">
        <v>3573</v>
      </c>
      <c r="CY2" s="263">
        <v>0</v>
      </c>
      <c r="CZ2" s="263">
        <v>170273606187</v>
      </c>
      <c r="DA2" s="263">
        <v>1827</v>
      </c>
      <c r="DB2" s="263">
        <v>0</v>
      </c>
      <c r="DC2" s="263">
        <v>152736461148</v>
      </c>
      <c r="DD2" s="263">
        <v>1746</v>
      </c>
      <c r="DG2" s="327" t="s">
        <v>719</v>
      </c>
      <c r="DH2" s="325">
        <v>4188405176.8899999</v>
      </c>
      <c r="DJ2" s="331" t="s">
        <v>719</v>
      </c>
      <c r="DK2" s="329">
        <v>8691032194.5</v>
      </c>
      <c r="DM2" s="330" t="s">
        <v>724</v>
      </c>
      <c r="DN2" s="332">
        <v>1419038670.1500001</v>
      </c>
    </row>
    <row r="3" spans="1:118" x14ac:dyDescent="0.25">
      <c r="B3" s="179"/>
      <c r="C3" s="179"/>
      <c r="D3" s="179"/>
      <c r="E3" s="197"/>
      <c r="F3" s="197"/>
      <c r="G3" s="197"/>
      <c r="H3" s="197"/>
      <c r="J3" s="147" t="str">
        <f t="shared" ref="J3:J5" si="0">K3&amp;L3</f>
        <v>PBuy</v>
      </c>
      <c r="K3" s="222" t="s">
        <v>529</v>
      </c>
      <c r="L3" s="222" t="s">
        <v>528</v>
      </c>
      <c r="M3" s="226">
        <v>241185095596.05118</v>
      </c>
      <c r="N3" s="131"/>
      <c r="O3" s="227"/>
      <c r="P3" s="227"/>
      <c r="Q3" s="227"/>
      <c r="S3" s="241"/>
      <c r="T3" s="246"/>
      <c r="U3" s="246"/>
      <c r="V3" s="246"/>
      <c r="W3" s="246"/>
      <c r="X3" s="246"/>
      <c r="Y3" s="233"/>
      <c r="Z3" s="241" t="s">
        <v>635</v>
      </c>
      <c r="AA3" s="241">
        <v>0</v>
      </c>
      <c r="AB3" s="241">
        <v>0</v>
      </c>
      <c r="AC3" s="241">
        <v>0</v>
      </c>
      <c r="AD3" s="241">
        <v>0</v>
      </c>
      <c r="AE3" s="241">
        <v>0</v>
      </c>
      <c r="AF3" s="241"/>
      <c r="AG3" s="241" t="s">
        <v>635</v>
      </c>
      <c r="AH3" s="241">
        <v>0</v>
      </c>
      <c r="AI3" s="241">
        <v>0</v>
      </c>
      <c r="AJ3" s="241">
        <v>0</v>
      </c>
      <c r="AK3" s="241">
        <v>0</v>
      </c>
      <c r="AL3" s="241">
        <v>0</v>
      </c>
      <c r="AM3" s="233"/>
      <c r="AN3" s="241" t="s">
        <v>635</v>
      </c>
      <c r="AO3" s="241">
        <v>0</v>
      </c>
      <c r="AP3" s="241">
        <v>0</v>
      </c>
      <c r="AQ3" s="241">
        <v>0</v>
      </c>
      <c r="AR3" s="241">
        <v>0</v>
      </c>
      <c r="AS3" s="241">
        <v>0</v>
      </c>
      <c r="AT3" s="233"/>
      <c r="AU3" s="241" t="s">
        <v>635</v>
      </c>
      <c r="AV3" s="241">
        <v>0</v>
      </c>
      <c r="AW3" s="241">
        <v>0</v>
      </c>
      <c r="AX3" s="241">
        <v>0</v>
      </c>
      <c r="AY3" s="241">
        <v>0</v>
      </c>
      <c r="AZ3" s="241">
        <v>0</v>
      </c>
      <c r="BA3" s="233"/>
      <c r="BB3" s="241" t="s">
        <v>635</v>
      </c>
      <c r="BC3" s="241">
        <v>0</v>
      </c>
      <c r="BD3" s="241">
        <v>0</v>
      </c>
      <c r="BE3" s="241">
        <v>0</v>
      </c>
      <c r="BF3" s="241">
        <v>0</v>
      </c>
      <c r="BG3" s="241">
        <v>0</v>
      </c>
      <c r="BH3" s="235" t="s">
        <v>635</v>
      </c>
      <c r="BI3" s="241">
        <v>0</v>
      </c>
      <c r="BJ3" s="241">
        <v>0</v>
      </c>
      <c r="BK3" s="241">
        <v>0</v>
      </c>
      <c r="BL3" s="241">
        <v>0</v>
      </c>
      <c r="BM3" s="241">
        <v>0</v>
      </c>
      <c r="BN3" s="241"/>
      <c r="BO3" s="233"/>
      <c r="BP3" s="233"/>
      <c r="BQ3" s="233"/>
      <c r="BR3" s="233"/>
      <c r="BS3" s="233"/>
      <c r="BT3" s="253" t="s">
        <v>685</v>
      </c>
      <c r="BU3" s="253">
        <v>1</v>
      </c>
      <c r="BV3" s="253">
        <v>0</v>
      </c>
      <c r="BW3" s="253">
        <v>0</v>
      </c>
      <c r="BX3" s="253">
        <v>0</v>
      </c>
      <c r="BY3" s="253">
        <v>0</v>
      </c>
      <c r="BZ3" s="253">
        <v>1</v>
      </c>
      <c r="CA3" s="253">
        <v>1</v>
      </c>
      <c r="CB3" s="253">
        <v>0</v>
      </c>
      <c r="CC3" s="233"/>
      <c r="CD3" s="233"/>
      <c r="CE3" s="233"/>
      <c r="CF3" s="233"/>
      <c r="CG3" s="253">
        <v>2020</v>
      </c>
      <c r="CH3" s="253">
        <v>21</v>
      </c>
      <c r="CI3" s="233"/>
      <c r="CJ3" s="235" t="s">
        <v>694</v>
      </c>
      <c r="CK3" s="235">
        <v>991876318014.33911</v>
      </c>
      <c r="CL3" s="235"/>
      <c r="CM3" s="235" t="s">
        <v>694</v>
      </c>
      <c r="CN3" s="235">
        <v>2562337866456.5039</v>
      </c>
      <c r="CO3" s="235"/>
      <c r="CP3" s="235" t="s">
        <v>694</v>
      </c>
      <c r="CQ3" s="235">
        <v>23717670745.259995</v>
      </c>
      <c r="CR3" s="233"/>
      <c r="CS3" s="265">
        <v>2021</v>
      </c>
      <c r="CT3" s="263">
        <v>2</v>
      </c>
      <c r="CU3" s="263" t="s">
        <v>708</v>
      </c>
      <c r="CV3" s="263">
        <v>-176903848.09999999</v>
      </c>
      <c r="CW3" s="263">
        <v>-162000000</v>
      </c>
      <c r="CX3" s="263">
        <v>2</v>
      </c>
      <c r="CY3" s="263">
        <v>2262123</v>
      </c>
      <c r="CZ3" s="263">
        <v>3000000</v>
      </c>
      <c r="DA3" s="263">
        <v>1</v>
      </c>
      <c r="DB3" s="263">
        <v>179165971.09999999</v>
      </c>
      <c r="DC3" s="263">
        <v>165000000</v>
      </c>
      <c r="DD3" s="263">
        <v>1</v>
      </c>
      <c r="DG3" s="327" t="s">
        <v>720</v>
      </c>
      <c r="DH3" s="325">
        <v>615470501.12</v>
      </c>
      <c r="DJ3" s="331" t="s">
        <v>720</v>
      </c>
      <c r="DK3" s="329">
        <v>4902138680.8999996</v>
      </c>
      <c r="DM3" s="330" t="s">
        <v>719</v>
      </c>
      <c r="DN3" s="332">
        <v>19312988937.060001</v>
      </c>
    </row>
    <row r="4" spans="1:118" x14ac:dyDescent="0.25">
      <c r="A4" s="143" t="s">
        <v>184</v>
      </c>
      <c r="B4" s="179" t="s">
        <v>522</v>
      </c>
      <c r="C4" s="179" t="s">
        <v>523</v>
      </c>
      <c r="D4" s="179" t="s">
        <v>524</v>
      </c>
      <c r="E4" s="197"/>
      <c r="F4" s="199" t="s">
        <v>524</v>
      </c>
      <c r="G4" s="199" t="s">
        <v>522</v>
      </c>
      <c r="H4" s="199" t="s">
        <v>523</v>
      </c>
      <c r="J4" s="147" t="str">
        <f t="shared" si="0"/>
        <v>ASell</v>
      </c>
      <c r="K4" s="222" t="s">
        <v>527</v>
      </c>
      <c r="L4" s="222" t="s">
        <v>530</v>
      </c>
      <c r="M4" s="226">
        <v>210897473031.14233</v>
      </c>
      <c r="N4" s="148" t="s">
        <v>197</v>
      </c>
      <c r="O4" s="230" t="s">
        <v>491</v>
      </c>
      <c r="P4" s="230" t="s">
        <v>492</v>
      </c>
      <c r="Q4" s="230" t="s">
        <v>493</v>
      </c>
      <c r="S4" s="241"/>
      <c r="T4" s="246"/>
      <c r="U4" s="246"/>
      <c r="V4" s="246"/>
      <c r="W4" s="246"/>
      <c r="X4" s="246"/>
      <c r="Y4" s="233"/>
      <c r="Z4" s="241" t="s">
        <v>636</v>
      </c>
      <c r="AA4" s="241">
        <v>0</v>
      </c>
      <c r="AB4" s="241">
        <v>0</v>
      </c>
      <c r="AC4" s="241">
        <v>0</v>
      </c>
      <c r="AD4" s="241">
        <v>0</v>
      </c>
      <c r="AE4" s="241">
        <v>0</v>
      </c>
      <c r="AF4" s="241"/>
      <c r="AG4" s="241" t="s">
        <v>636</v>
      </c>
      <c r="AH4" s="241">
        <v>0</v>
      </c>
      <c r="AI4" s="241">
        <v>0</v>
      </c>
      <c r="AJ4" s="241">
        <v>0</v>
      </c>
      <c r="AK4" s="241">
        <v>0</v>
      </c>
      <c r="AL4" s="241">
        <v>0</v>
      </c>
      <c r="AM4" s="233"/>
      <c r="AN4" s="241" t="s">
        <v>636</v>
      </c>
      <c r="AO4" s="241">
        <v>0</v>
      </c>
      <c r="AP4" s="241">
        <v>0</v>
      </c>
      <c r="AQ4" s="241">
        <v>0</v>
      </c>
      <c r="AR4" s="241">
        <v>0</v>
      </c>
      <c r="AS4" s="241">
        <v>0</v>
      </c>
      <c r="AT4" s="233"/>
      <c r="AU4" s="241" t="s">
        <v>636</v>
      </c>
      <c r="AV4" s="241">
        <v>0</v>
      </c>
      <c r="AW4" s="241">
        <v>0</v>
      </c>
      <c r="AX4" s="241">
        <v>0</v>
      </c>
      <c r="AY4" s="241">
        <v>0</v>
      </c>
      <c r="AZ4" s="241">
        <v>0</v>
      </c>
      <c r="BA4" s="233"/>
      <c r="BB4" s="241" t="s">
        <v>636</v>
      </c>
      <c r="BC4" s="241">
        <v>0</v>
      </c>
      <c r="BD4" s="241">
        <v>0</v>
      </c>
      <c r="BE4" s="241">
        <v>0</v>
      </c>
      <c r="BF4" s="241">
        <v>0</v>
      </c>
      <c r="BG4" s="241">
        <v>0</v>
      </c>
      <c r="BH4" s="235" t="s">
        <v>636</v>
      </c>
      <c r="BI4" s="241">
        <v>0</v>
      </c>
      <c r="BJ4" s="241">
        <v>0</v>
      </c>
      <c r="BK4" s="241">
        <v>0</v>
      </c>
      <c r="BL4" s="241">
        <v>0</v>
      </c>
      <c r="BM4" s="241">
        <v>0</v>
      </c>
      <c r="BN4" s="241"/>
      <c r="BO4" s="240" t="s">
        <v>436</v>
      </c>
      <c r="BP4" s="252" t="s">
        <v>629</v>
      </c>
      <c r="BQ4" s="252" t="s">
        <v>630</v>
      </c>
      <c r="BR4" s="252" t="s">
        <v>631</v>
      </c>
      <c r="BS4" s="233"/>
      <c r="BT4" s="253" t="s">
        <v>686</v>
      </c>
      <c r="BU4" s="253">
        <v>287</v>
      </c>
      <c r="BV4" s="253">
        <v>0</v>
      </c>
      <c r="BW4" s="253">
        <v>1</v>
      </c>
      <c r="BX4" s="253">
        <v>0</v>
      </c>
      <c r="BY4" s="253">
        <v>0</v>
      </c>
      <c r="BZ4" s="253">
        <v>286</v>
      </c>
      <c r="CA4" s="253">
        <v>226</v>
      </c>
      <c r="CB4" s="253">
        <v>61</v>
      </c>
      <c r="CC4" s="255" t="s">
        <v>470</v>
      </c>
      <c r="CD4" s="258" t="s">
        <v>689</v>
      </c>
      <c r="CE4" s="258" t="s">
        <v>690</v>
      </c>
      <c r="CF4" s="233"/>
      <c r="CG4" s="233"/>
      <c r="CH4" s="233"/>
      <c r="CI4" s="233"/>
      <c r="CJ4" s="233"/>
      <c r="CK4" s="233"/>
      <c r="CL4" s="235"/>
      <c r="CM4" s="235"/>
      <c r="CN4" s="235"/>
      <c r="CO4" s="235"/>
      <c r="CP4" s="235"/>
      <c r="CQ4" s="235"/>
      <c r="CR4" s="233"/>
      <c r="CS4" s="265">
        <v>2021</v>
      </c>
      <c r="CT4" s="263">
        <v>1</v>
      </c>
      <c r="CU4" s="263" t="s">
        <v>709</v>
      </c>
      <c r="CV4" s="263">
        <v>-108445120</v>
      </c>
      <c r="CW4" s="263">
        <v>-100000000</v>
      </c>
      <c r="CX4" s="263">
        <v>1</v>
      </c>
      <c r="CY4" s="263">
        <v>0</v>
      </c>
      <c r="CZ4" s="263">
        <v>0</v>
      </c>
      <c r="DA4" s="263">
        <v>0</v>
      </c>
      <c r="DB4" s="263">
        <v>108445120</v>
      </c>
      <c r="DC4" s="263">
        <v>100000000</v>
      </c>
      <c r="DD4" s="263">
        <v>1</v>
      </c>
      <c r="DG4" s="327" t="s">
        <v>721</v>
      </c>
      <c r="DH4" s="325">
        <v>2223790.2400000002</v>
      </c>
      <c r="DJ4" s="331" t="s">
        <v>721</v>
      </c>
      <c r="DK4" s="329">
        <v>208768478.11000001</v>
      </c>
      <c r="DM4" s="330" t="s">
        <v>720</v>
      </c>
      <c r="DN4" s="332">
        <v>14966434485.9</v>
      </c>
    </row>
    <row r="5" spans="1:118" x14ac:dyDescent="0.25">
      <c r="B5" s="179">
        <v>115426036852</v>
      </c>
      <c r="C5" s="179">
        <v>5459955335009.6729</v>
      </c>
      <c r="D5" s="185">
        <v>76097555</v>
      </c>
      <c r="E5" s="197"/>
      <c r="F5" s="199">
        <v>16817</v>
      </c>
      <c r="G5" s="199">
        <v>10918516036</v>
      </c>
      <c r="H5" s="213">
        <v>493617887066.75336</v>
      </c>
      <c r="J5" s="147" t="str">
        <f t="shared" si="0"/>
        <v>PSell</v>
      </c>
      <c r="K5" s="222" t="s">
        <v>529</v>
      </c>
      <c r="L5" s="222" t="s">
        <v>530</v>
      </c>
      <c r="M5" s="226">
        <v>240444000363.24414</v>
      </c>
      <c r="N5" s="131"/>
      <c r="O5" s="229">
        <v>925436226630.79004</v>
      </c>
      <c r="P5" s="229">
        <v>-1051948210312.5</v>
      </c>
      <c r="Q5" s="229">
        <v>-126511983681.71001</v>
      </c>
      <c r="S5" s="241"/>
      <c r="T5" s="246"/>
      <c r="U5" s="246"/>
      <c r="V5" s="246"/>
      <c r="W5" s="246"/>
      <c r="X5" s="246"/>
      <c r="Y5" s="233"/>
      <c r="Z5" s="241" t="s">
        <v>637</v>
      </c>
      <c r="AA5" s="241">
        <v>0</v>
      </c>
      <c r="AB5" s="241">
        <v>0</v>
      </c>
      <c r="AC5" s="241">
        <v>0</v>
      </c>
      <c r="AD5" s="241">
        <v>0</v>
      </c>
      <c r="AE5" s="241">
        <v>0</v>
      </c>
      <c r="AF5" s="241"/>
      <c r="AG5" s="241" t="s">
        <v>637</v>
      </c>
      <c r="AH5" s="241">
        <v>0</v>
      </c>
      <c r="AI5" s="241">
        <v>0</v>
      </c>
      <c r="AJ5" s="241">
        <v>0</v>
      </c>
      <c r="AK5" s="241">
        <v>0</v>
      </c>
      <c r="AL5" s="241">
        <v>0</v>
      </c>
      <c r="AM5" s="233"/>
      <c r="AN5" s="241" t="s">
        <v>637</v>
      </c>
      <c r="AO5" s="241">
        <v>0</v>
      </c>
      <c r="AP5" s="241">
        <v>0</v>
      </c>
      <c r="AQ5" s="241">
        <v>0</v>
      </c>
      <c r="AR5" s="241">
        <v>0</v>
      </c>
      <c r="AS5" s="241">
        <v>0</v>
      </c>
      <c r="AT5" s="233"/>
      <c r="AU5" s="241" t="s">
        <v>637</v>
      </c>
      <c r="AV5" s="241">
        <v>0</v>
      </c>
      <c r="AW5" s="241">
        <v>0</v>
      </c>
      <c r="AX5" s="241">
        <v>0</v>
      </c>
      <c r="AY5" s="241">
        <v>0</v>
      </c>
      <c r="AZ5" s="241">
        <v>0</v>
      </c>
      <c r="BA5" s="233"/>
      <c r="BB5" s="241" t="s">
        <v>637</v>
      </c>
      <c r="BC5" s="241">
        <v>0</v>
      </c>
      <c r="BD5" s="241">
        <v>0</v>
      </c>
      <c r="BE5" s="241">
        <v>0</v>
      </c>
      <c r="BF5" s="241">
        <v>0</v>
      </c>
      <c r="BG5" s="241">
        <v>0</v>
      </c>
      <c r="BH5" s="235" t="s">
        <v>637</v>
      </c>
      <c r="BI5" s="241">
        <v>0</v>
      </c>
      <c r="BJ5" s="241">
        <v>0</v>
      </c>
      <c r="BK5" s="241">
        <v>0</v>
      </c>
      <c r="BL5" s="241">
        <v>0</v>
      </c>
      <c r="BM5" s="241">
        <v>0</v>
      </c>
      <c r="BN5" s="241"/>
      <c r="BO5" s="233"/>
      <c r="BP5" s="251"/>
      <c r="BQ5" s="251"/>
      <c r="BR5" s="251"/>
      <c r="BS5" s="233"/>
      <c r="BT5" s="253" t="s">
        <v>687</v>
      </c>
      <c r="BU5" s="253">
        <v>1</v>
      </c>
      <c r="BV5" s="253">
        <v>0</v>
      </c>
      <c r="BW5" s="253">
        <v>0</v>
      </c>
      <c r="BX5" s="253">
        <v>0</v>
      </c>
      <c r="BY5" s="253">
        <v>0</v>
      </c>
      <c r="BZ5" s="253">
        <v>1</v>
      </c>
      <c r="CA5" s="253">
        <v>1</v>
      </c>
      <c r="CB5" s="253">
        <v>0</v>
      </c>
      <c r="CC5" s="233"/>
      <c r="CD5" s="259">
        <v>1009</v>
      </c>
      <c r="CE5" s="259">
        <v>17400317678058.609</v>
      </c>
      <c r="CF5" s="255" t="s">
        <v>475</v>
      </c>
      <c r="CG5" s="254" t="s">
        <v>6</v>
      </c>
      <c r="CH5" s="254" t="s">
        <v>691</v>
      </c>
      <c r="CI5" s="233"/>
      <c r="CJ5" s="233"/>
      <c r="CK5" s="235"/>
      <c r="CL5" s="235"/>
      <c r="CM5" s="235"/>
      <c r="CN5" s="235"/>
      <c r="CO5" s="235"/>
      <c r="CP5" s="235"/>
      <c r="CQ5" s="235"/>
      <c r="CR5" s="233"/>
      <c r="CS5" s="265">
        <v>2021</v>
      </c>
      <c r="CT5" s="263">
        <v>24</v>
      </c>
      <c r="CU5" s="263" t="s">
        <v>710</v>
      </c>
      <c r="CV5" s="263">
        <v>-1330073457406.3196</v>
      </c>
      <c r="CW5" s="263">
        <v>-1302067329780</v>
      </c>
      <c r="CX5" s="263">
        <v>5378</v>
      </c>
      <c r="CY5" s="263">
        <v>234345095222.59995</v>
      </c>
      <c r="CZ5" s="263">
        <v>259061024420</v>
      </c>
      <c r="DA5" s="263">
        <v>1684</v>
      </c>
      <c r="DB5" s="263">
        <v>1564418552628.9194</v>
      </c>
      <c r="DC5" s="263">
        <v>1561128354200</v>
      </c>
      <c r="DD5" s="263">
        <v>3694</v>
      </c>
      <c r="DG5" s="327" t="s">
        <v>722</v>
      </c>
      <c r="DH5" s="325">
        <v>169967665.18000001</v>
      </c>
      <c r="DJ5" s="331" t="s">
        <v>722</v>
      </c>
      <c r="DK5" s="329">
        <v>2695264489.75</v>
      </c>
      <c r="DM5" s="330" t="s">
        <v>721</v>
      </c>
      <c r="DN5" s="332">
        <v>439319043.97000003</v>
      </c>
    </row>
    <row r="6" spans="1:118" x14ac:dyDescent="0.25">
      <c r="B6" s="179"/>
      <c r="C6" s="179"/>
      <c r="D6" s="179"/>
      <c r="E6" s="197"/>
      <c r="F6" s="197"/>
      <c r="G6" s="197"/>
      <c r="H6" s="197"/>
      <c r="J6" s="147"/>
      <c r="K6" s="219"/>
      <c r="L6" s="217"/>
      <c r="M6" s="216"/>
      <c r="O6" s="227"/>
      <c r="P6" s="227"/>
      <c r="Q6" s="227"/>
      <c r="S6" s="241"/>
      <c r="T6" s="246"/>
      <c r="U6" s="246"/>
      <c r="V6" s="246"/>
      <c r="W6" s="246"/>
      <c r="X6" s="246"/>
      <c r="Y6" s="233"/>
      <c r="Z6" s="241" t="s">
        <v>638</v>
      </c>
      <c r="AA6" s="241">
        <v>0</v>
      </c>
      <c r="AB6" s="241">
        <v>0</v>
      </c>
      <c r="AC6" s="241">
        <v>0</v>
      </c>
      <c r="AD6" s="241">
        <v>0</v>
      </c>
      <c r="AE6" s="241">
        <v>0</v>
      </c>
      <c r="AF6" s="241"/>
      <c r="AG6" s="241" t="s">
        <v>638</v>
      </c>
      <c r="AH6" s="241">
        <v>0</v>
      </c>
      <c r="AI6" s="241">
        <v>0</v>
      </c>
      <c r="AJ6" s="241">
        <v>0</v>
      </c>
      <c r="AK6" s="241">
        <v>0</v>
      </c>
      <c r="AL6" s="241">
        <v>0</v>
      </c>
      <c r="AM6" s="233"/>
      <c r="AN6" s="241" t="s">
        <v>638</v>
      </c>
      <c r="AO6" s="241">
        <v>0</v>
      </c>
      <c r="AP6" s="241">
        <v>0</v>
      </c>
      <c r="AQ6" s="241">
        <v>0</v>
      </c>
      <c r="AR6" s="241">
        <v>0</v>
      </c>
      <c r="AS6" s="241">
        <v>0</v>
      </c>
      <c r="AT6" s="233"/>
      <c r="AU6" s="241" t="s">
        <v>638</v>
      </c>
      <c r="AV6" s="241">
        <v>0</v>
      </c>
      <c r="AW6" s="241">
        <v>0</v>
      </c>
      <c r="AX6" s="241">
        <v>0</v>
      </c>
      <c r="AY6" s="241">
        <v>0</v>
      </c>
      <c r="AZ6" s="241">
        <v>0</v>
      </c>
      <c r="BA6" s="233"/>
      <c r="BB6" s="241" t="s">
        <v>638</v>
      </c>
      <c r="BC6" s="241">
        <v>0</v>
      </c>
      <c r="BD6" s="241">
        <v>0</v>
      </c>
      <c r="BE6" s="241">
        <v>0</v>
      </c>
      <c r="BF6" s="241">
        <v>0</v>
      </c>
      <c r="BG6" s="241">
        <v>0</v>
      </c>
      <c r="BH6" s="235" t="s">
        <v>638</v>
      </c>
      <c r="BI6" s="241">
        <v>0</v>
      </c>
      <c r="BJ6" s="241">
        <v>0</v>
      </c>
      <c r="BK6" s="241">
        <v>0</v>
      </c>
      <c r="BL6" s="241">
        <v>0</v>
      </c>
      <c r="BM6" s="241">
        <v>0</v>
      </c>
      <c r="BN6" s="241"/>
      <c r="BO6" s="235"/>
      <c r="BP6" s="251"/>
      <c r="BQ6" s="251"/>
      <c r="BR6" s="251"/>
      <c r="BS6" s="233"/>
      <c r="BT6" s="253"/>
      <c r="BU6" s="253"/>
      <c r="BV6" s="253"/>
      <c r="BW6" s="253"/>
      <c r="BX6" s="253"/>
      <c r="BY6" s="253"/>
      <c r="BZ6" s="253"/>
      <c r="CA6" s="253"/>
      <c r="CB6" s="253"/>
      <c r="CC6" s="233"/>
      <c r="CD6" s="233"/>
      <c r="CE6" s="233"/>
      <c r="CF6" s="233"/>
      <c r="CG6" s="253">
        <v>2021</v>
      </c>
      <c r="CH6" s="253">
        <v>229</v>
      </c>
      <c r="CI6" s="255" t="s">
        <v>477</v>
      </c>
      <c r="CJ6" s="235" t="s">
        <v>107</v>
      </c>
      <c r="CK6" s="235">
        <v>305643</v>
      </c>
      <c r="CL6" s="255" t="s">
        <v>480</v>
      </c>
      <c r="CM6" s="235" t="s">
        <v>107</v>
      </c>
      <c r="CN6" s="235">
        <v>138789</v>
      </c>
      <c r="CO6" s="255" t="s">
        <v>483</v>
      </c>
      <c r="CP6" s="235" t="s">
        <v>107</v>
      </c>
      <c r="CQ6" s="235">
        <v>7890</v>
      </c>
      <c r="CR6" s="233"/>
      <c r="CS6" s="265">
        <v>2021</v>
      </c>
      <c r="CT6" s="263">
        <v>24</v>
      </c>
      <c r="CU6" s="263" t="s">
        <v>711</v>
      </c>
      <c r="CV6" s="263">
        <v>1254974826682.1704</v>
      </c>
      <c r="CW6" s="263">
        <v>1228003931191</v>
      </c>
      <c r="CX6" s="263">
        <v>5163</v>
      </c>
      <c r="CY6" s="263">
        <v>1478506707230.8906</v>
      </c>
      <c r="CZ6" s="263">
        <v>1477115755595</v>
      </c>
      <c r="DA6" s="263">
        <v>3532</v>
      </c>
      <c r="DB6" s="263">
        <v>223531880548.71997</v>
      </c>
      <c r="DC6" s="263">
        <v>249111824404</v>
      </c>
      <c r="DD6" s="263">
        <v>1631</v>
      </c>
      <c r="DG6" s="327" t="s">
        <v>723</v>
      </c>
      <c r="DH6" s="325">
        <v>33883881.020000003</v>
      </c>
      <c r="DJ6" s="331" t="s">
        <v>723</v>
      </c>
      <c r="DK6" s="329">
        <v>880489900.84000003</v>
      </c>
      <c r="DM6" s="330" t="s">
        <v>722</v>
      </c>
      <c r="DN6" s="332">
        <v>1868076768.9200001</v>
      </c>
    </row>
    <row r="7" spans="1:118" x14ac:dyDescent="0.25">
      <c r="A7" s="143" t="s">
        <v>185</v>
      </c>
      <c r="B7" s="179" t="s">
        <v>522</v>
      </c>
      <c r="C7" s="179" t="s">
        <v>523</v>
      </c>
      <c r="D7" s="179" t="s">
        <v>524</v>
      </c>
      <c r="E7" s="197"/>
      <c r="F7" s="199" t="s">
        <v>524</v>
      </c>
      <c r="G7" s="199" t="s">
        <v>522</v>
      </c>
      <c r="H7" s="199" t="s">
        <v>523</v>
      </c>
      <c r="I7" s="148" t="s">
        <v>192</v>
      </c>
      <c r="J7" s="143" t="s">
        <v>193</v>
      </c>
      <c r="K7" s="223" t="s">
        <v>525</v>
      </c>
      <c r="L7" s="223" t="s">
        <v>526</v>
      </c>
      <c r="M7" s="225" t="s">
        <v>523</v>
      </c>
      <c r="N7" s="148" t="s">
        <v>198</v>
      </c>
      <c r="O7" s="230" t="s">
        <v>491</v>
      </c>
      <c r="P7" s="230" t="s">
        <v>492</v>
      </c>
      <c r="Q7" s="230" t="s">
        <v>493</v>
      </c>
      <c r="S7" s="241"/>
      <c r="T7" s="246"/>
      <c r="U7" s="246"/>
      <c r="V7" s="246"/>
      <c r="W7" s="246"/>
      <c r="X7" s="246"/>
      <c r="Y7" s="233"/>
      <c r="Z7" s="241" t="s">
        <v>639</v>
      </c>
      <c r="AA7" s="241">
        <v>0</v>
      </c>
      <c r="AB7" s="241">
        <v>0</v>
      </c>
      <c r="AC7" s="241">
        <v>0</v>
      </c>
      <c r="AD7" s="241">
        <v>0</v>
      </c>
      <c r="AE7" s="241">
        <v>0</v>
      </c>
      <c r="AF7" s="241"/>
      <c r="AG7" s="241" t="s">
        <v>639</v>
      </c>
      <c r="AH7" s="241">
        <v>0</v>
      </c>
      <c r="AI7" s="241">
        <v>0</v>
      </c>
      <c r="AJ7" s="241">
        <v>0</v>
      </c>
      <c r="AK7" s="241">
        <v>0</v>
      </c>
      <c r="AL7" s="241">
        <v>0</v>
      </c>
      <c r="AM7" s="233"/>
      <c r="AN7" s="241" t="s">
        <v>639</v>
      </c>
      <c r="AO7" s="241">
        <v>0</v>
      </c>
      <c r="AP7" s="241">
        <v>0</v>
      </c>
      <c r="AQ7" s="241">
        <v>0</v>
      </c>
      <c r="AR7" s="241">
        <v>0</v>
      </c>
      <c r="AS7" s="241">
        <v>0</v>
      </c>
      <c r="AT7" s="233"/>
      <c r="AU7" s="241" t="s">
        <v>639</v>
      </c>
      <c r="AV7" s="241">
        <v>0</v>
      </c>
      <c r="AW7" s="241">
        <v>0</v>
      </c>
      <c r="AX7" s="241">
        <v>0</v>
      </c>
      <c r="AY7" s="241">
        <v>0</v>
      </c>
      <c r="AZ7" s="241">
        <v>0</v>
      </c>
      <c r="BA7" s="233"/>
      <c r="BB7" s="241" t="s">
        <v>639</v>
      </c>
      <c r="BC7" s="241">
        <v>0</v>
      </c>
      <c r="BD7" s="241">
        <v>0</v>
      </c>
      <c r="BE7" s="241">
        <v>0</v>
      </c>
      <c r="BF7" s="241">
        <v>0</v>
      </c>
      <c r="BG7" s="241">
        <v>0</v>
      </c>
      <c r="BH7" s="235" t="s">
        <v>639</v>
      </c>
      <c r="BI7" s="241">
        <v>0</v>
      </c>
      <c r="BJ7" s="241">
        <v>0</v>
      </c>
      <c r="BK7" s="241">
        <v>0</v>
      </c>
      <c r="BL7" s="241">
        <v>0</v>
      </c>
      <c r="BM7" s="241">
        <v>0</v>
      </c>
      <c r="BN7" s="241"/>
      <c r="BO7" s="240" t="s">
        <v>438</v>
      </c>
      <c r="BP7" s="252" t="s">
        <v>629</v>
      </c>
      <c r="BQ7" s="252" t="s">
        <v>630</v>
      </c>
      <c r="BR7" s="252" t="s">
        <v>631</v>
      </c>
      <c r="BS7" s="235"/>
      <c r="BT7" s="253"/>
      <c r="BU7" s="253"/>
      <c r="BV7" s="253"/>
      <c r="BW7" s="253"/>
      <c r="BX7" s="253"/>
      <c r="BY7" s="253"/>
      <c r="BZ7" s="253"/>
      <c r="CA7" s="253"/>
      <c r="CB7" s="253"/>
      <c r="CC7" s="233"/>
      <c r="CD7" s="233"/>
      <c r="CE7" s="233"/>
      <c r="CF7" s="233"/>
      <c r="CG7" s="253">
        <v>2020</v>
      </c>
      <c r="CH7" s="253">
        <v>231</v>
      </c>
      <c r="CI7" s="233"/>
      <c r="CJ7" s="235" t="s">
        <v>693</v>
      </c>
      <c r="CK7" s="235">
        <v>9287458090191</v>
      </c>
      <c r="CL7" s="235"/>
      <c r="CM7" s="235" t="s">
        <v>693</v>
      </c>
      <c r="CN7" s="235">
        <v>23056669868220</v>
      </c>
      <c r="CO7" s="235"/>
      <c r="CP7" s="235" t="s">
        <v>693</v>
      </c>
      <c r="CQ7" s="235">
        <v>687751248113</v>
      </c>
      <c r="CR7" s="233"/>
      <c r="CS7" s="265">
        <v>2021</v>
      </c>
      <c r="CT7" s="263">
        <v>410</v>
      </c>
      <c r="CU7" s="263" t="s">
        <v>712</v>
      </c>
      <c r="CV7" s="263">
        <v>-105415041893.61998</v>
      </c>
      <c r="CW7" s="263">
        <v>-107811048949</v>
      </c>
      <c r="CX7" s="263">
        <v>6432</v>
      </c>
      <c r="CY7" s="263">
        <v>128033511124.58002</v>
      </c>
      <c r="CZ7" s="263">
        <v>130558280198</v>
      </c>
      <c r="DA7" s="263">
        <v>3204</v>
      </c>
      <c r="DB7" s="263">
        <v>233448553018.19998</v>
      </c>
      <c r="DC7" s="263">
        <v>238369329147</v>
      </c>
      <c r="DD7" s="263">
        <v>3228</v>
      </c>
      <c r="DM7" s="10" t="s">
        <v>723</v>
      </c>
      <c r="DN7" s="373">
        <v>27181531702.779999</v>
      </c>
    </row>
    <row r="8" spans="1:118" x14ac:dyDescent="0.25">
      <c r="B8" s="179">
        <v>107662503237</v>
      </c>
      <c r="C8" s="179">
        <v>5379003297799.6191</v>
      </c>
      <c r="D8" s="185">
        <v>86985996</v>
      </c>
      <c r="E8" s="197"/>
      <c r="F8" s="199">
        <v>15153</v>
      </c>
      <c r="G8" s="199">
        <v>8469517536</v>
      </c>
      <c r="H8" s="213">
        <v>317255639373.69495</v>
      </c>
      <c r="J8" s="147" t="str">
        <f>K8&amp;L8</f>
        <v>ABuy</v>
      </c>
      <c r="K8" s="222" t="s">
        <v>527</v>
      </c>
      <c r="L8" s="222" t="s">
        <v>528</v>
      </c>
      <c r="M8" s="226">
        <v>200147887207.50577</v>
      </c>
      <c r="O8" s="232">
        <v>864584278721.65002</v>
      </c>
      <c r="P8" s="232">
        <v>-1001901968487.92</v>
      </c>
      <c r="Q8" s="229">
        <v>-137317689766.27</v>
      </c>
      <c r="S8" s="241"/>
      <c r="T8" s="246"/>
      <c r="U8" s="246"/>
      <c r="V8" s="246"/>
      <c r="W8" s="246"/>
      <c r="X8" s="246"/>
      <c r="Y8" s="233"/>
      <c r="Z8" s="241" t="s">
        <v>640</v>
      </c>
      <c r="AA8" s="241">
        <v>0</v>
      </c>
      <c r="AB8" s="241">
        <v>0</v>
      </c>
      <c r="AC8" s="241">
        <v>0</v>
      </c>
      <c r="AD8" s="241">
        <v>0</v>
      </c>
      <c r="AE8" s="241">
        <v>0</v>
      </c>
      <c r="AF8" s="241"/>
      <c r="AG8" s="241" t="s">
        <v>640</v>
      </c>
      <c r="AH8" s="241">
        <v>0</v>
      </c>
      <c r="AI8" s="241">
        <v>0</v>
      </c>
      <c r="AJ8" s="241">
        <v>0</v>
      </c>
      <c r="AK8" s="241">
        <v>0</v>
      </c>
      <c r="AL8" s="241">
        <v>0</v>
      </c>
      <c r="AM8" s="233"/>
      <c r="AN8" s="241" t="s">
        <v>640</v>
      </c>
      <c r="AO8" s="241">
        <v>0</v>
      </c>
      <c r="AP8" s="241">
        <v>0</v>
      </c>
      <c r="AQ8" s="241">
        <v>0</v>
      </c>
      <c r="AR8" s="241">
        <v>0</v>
      </c>
      <c r="AS8" s="241">
        <v>0</v>
      </c>
      <c r="AT8" s="233"/>
      <c r="AU8" s="241" t="s">
        <v>640</v>
      </c>
      <c r="AV8" s="241">
        <v>0</v>
      </c>
      <c r="AW8" s="241">
        <v>0</v>
      </c>
      <c r="AX8" s="241">
        <v>0</v>
      </c>
      <c r="AY8" s="241">
        <v>0</v>
      </c>
      <c r="AZ8" s="241">
        <v>0</v>
      </c>
      <c r="BA8" s="233"/>
      <c r="BB8" s="241" t="s">
        <v>640</v>
      </c>
      <c r="BC8" s="241">
        <v>0</v>
      </c>
      <c r="BD8" s="241">
        <v>0</v>
      </c>
      <c r="BE8" s="241">
        <v>0</v>
      </c>
      <c r="BF8" s="241">
        <v>0</v>
      </c>
      <c r="BG8" s="241">
        <v>0</v>
      </c>
      <c r="BH8" s="235" t="s">
        <v>640</v>
      </c>
      <c r="BI8" s="241">
        <v>0</v>
      </c>
      <c r="BJ8" s="241">
        <v>0</v>
      </c>
      <c r="BK8" s="241">
        <v>0</v>
      </c>
      <c r="BL8" s="241">
        <v>0</v>
      </c>
      <c r="BM8" s="241">
        <v>0</v>
      </c>
      <c r="BN8" s="241"/>
      <c r="BO8" s="235"/>
      <c r="BP8" s="251"/>
      <c r="BQ8" s="251"/>
      <c r="BR8" s="251"/>
      <c r="BS8" s="233"/>
      <c r="BT8" s="243"/>
      <c r="BU8" s="243"/>
      <c r="BV8" s="243"/>
      <c r="BW8" s="243"/>
      <c r="BX8" s="243"/>
      <c r="BY8" s="243"/>
      <c r="BZ8" s="243"/>
      <c r="CA8" s="243"/>
      <c r="CB8" s="243"/>
      <c r="CC8" s="255" t="s">
        <v>471</v>
      </c>
      <c r="CD8" s="254" t="s">
        <v>690</v>
      </c>
      <c r="CE8" s="254" t="s">
        <v>692</v>
      </c>
      <c r="CF8" s="233"/>
      <c r="CG8" s="233"/>
      <c r="CH8" s="233"/>
      <c r="CI8" s="233"/>
      <c r="CJ8" s="235" t="s">
        <v>694</v>
      </c>
      <c r="CK8" s="235">
        <v>9143115792288.4551</v>
      </c>
      <c r="CL8" s="235"/>
      <c r="CM8" s="235" t="s">
        <v>694</v>
      </c>
      <c r="CN8" s="235">
        <v>22362718916238.273</v>
      </c>
      <c r="CO8" s="235"/>
      <c r="CP8" s="235" t="s">
        <v>694</v>
      </c>
      <c r="CQ8" s="235">
        <v>235549038778.76004</v>
      </c>
      <c r="CR8" s="233"/>
      <c r="CS8" s="265">
        <v>2021</v>
      </c>
      <c r="CT8" s="263">
        <v>136</v>
      </c>
      <c r="CU8" s="263" t="s">
        <v>713</v>
      </c>
      <c r="CV8" s="263">
        <v>-44765138398.339996</v>
      </c>
      <c r="CW8" s="263">
        <v>-46321399639</v>
      </c>
      <c r="CX8" s="263">
        <v>25717</v>
      </c>
      <c r="CY8" s="263">
        <v>874419464169.80994</v>
      </c>
      <c r="CZ8" s="263">
        <v>902564207209</v>
      </c>
      <c r="DA8" s="263">
        <v>12567</v>
      </c>
      <c r="DB8" s="263">
        <v>919184602568.14966</v>
      </c>
      <c r="DC8" s="263">
        <v>948885606848</v>
      </c>
      <c r="DD8" s="263">
        <v>13150</v>
      </c>
    </row>
    <row r="9" spans="1:118" x14ac:dyDescent="0.25">
      <c r="B9" s="178"/>
      <c r="C9" s="178"/>
      <c r="D9" s="178"/>
      <c r="E9" s="197"/>
      <c r="F9" s="197"/>
      <c r="G9" s="197"/>
      <c r="H9" s="197"/>
      <c r="J9" s="147" t="str">
        <f t="shared" ref="J9:J11" si="1">K9&amp;L9</f>
        <v>PBuy</v>
      </c>
      <c r="K9" s="222" t="s">
        <v>529</v>
      </c>
      <c r="L9" s="222" t="s">
        <v>528</v>
      </c>
      <c r="M9" s="226">
        <v>227712045472.54477</v>
      </c>
      <c r="N9" s="19"/>
      <c r="O9" s="227"/>
      <c r="P9" s="227"/>
      <c r="Q9" s="227"/>
      <c r="S9" s="241"/>
      <c r="T9" s="246"/>
      <c r="U9" s="246"/>
      <c r="V9" s="246"/>
      <c r="W9" s="246"/>
      <c r="X9" s="246"/>
      <c r="Y9" s="233"/>
      <c r="Z9" s="241" t="s">
        <v>641</v>
      </c>
      <c r="AA9" s="241">
        <v>1176089</v>
      </c>
      <c r="AB9" s="241">
        <v>137</v>
      </c>
      <c r="AC9" s="241">
        <v>55</v>
      </c>
      <c r="AD9" s="241">
        <v>18230</v>
      </c>
      <c r="AE9" s="241">
        <v>0</v>
      </c>
      <c r="AF9" s="241"/>
      <c r="AG9" s="241" t="s">
        <v>641</v>
      </c>
      <c r="AH9" s="241">
        <v>0</v>
      </c>
      <c r="AI9" s="241">
        <v>0</v>
      </c>
      <c r="AJ9" s="241">
        <v>0</v>
      </c>
      <c r="AK9" s="241">
        <v>43</v>
      </c>
      <c r="AL9" s="241">
        <v>0</v>
      </c>
      <c r="AM9" s="233"/>
      <c r="AN9" s="241" t="s">
        <v>641</v>
      </c>
      <c r="AO9" s="241">
        <v>542800</v>
      </c>
      <c r="AP9" s="241">
        <v>31</v>
      </c>
      <c r="AQ9" s="241">
        <v>18</v>
      </c>
      <c r="AR9" s="241">
        <v>22154</v>
      </c>
      <c r="AS9" s="241">
        <v>0</v>
      </c>
      <c r="AT9" s="233"/>
      <c r="AU9" s="241" t="s">
        <v>641</v>
      </c>
      <c r="AV9" s="241">
        <v>0</v>
      </c>
      <c r="AW9" s="241">
        <v>0</v>
      </c>
      <c r="AX9" s="241">
        <v>0</v>
      </c>
      <c r="AY9" s="241">
        <v>1059</v>
      </c>
      <c r="AZ9" s="241">
        <v>0</v>
      </c>
      <c r="BA9" s="233"/>
      <c r="BB9" s="241" t="s">
        <v>641</v>
      </c>
      <c r="BC9" s="241">
        <v>102100</v>
      </c>
      <c r="BD9" s="241">
        <v>17</v>
      </c>
      <c r="BE9" s="241">
        <v>6</v>
      </c>
      <c r="BF9" s="241">
        <v>2000</v>
      </c>
      <c r="BG9" s="241">
        <v>0</v>
      </c>
      <c r="BH9" s="235" t="s">
        <v>641</v>
      </c>
      <c r="BI9" s="241">
        <v>0</v>
      </c>
      <c r="BJ9" s="241">
        <v>0</v>
      </c>
      <c r="BK9" s="241">
        <v>0</v>
      </c>
      <c r="BL9" s="241">
        <v>36</v>
      </c>
      <c r="BM9" s="241">
        <v>0</v>
      </c>
      <c r="BN9" s="241"/>
      <c r="BO9" s="235"/>
      <c r="BP9" s="235"/>
      <c r="BQ9" s="235"/>
      <c r="BR9" s="235"/>
      <c r="BS9" s="244" t="s">
        <v>466</v>
      </c>
      <c r="BT9" s="254" t="s">
        <v>676</v>
      </c>
      <c r="BU9" s="254" t="s">
        <v>677</v>
      </c>
      <c r="BV9" s="254" t="s">
        <v>678</v>
      </c>
      <c r="BW9" s="254" t="s">
        <v>679</v>
      </c>
      <c r="BX9" s="254" t="s">
        <v>680</v>
      </c>
      <c r="BY9" s="254" t="s">
        <v>681</v>
      </c>
      <c r="BZ9" s="254" t="s">
        <v>682</v>
      </c>
      <c r="CA9" s="254" t="s">
        <v>683</v>
      </c>
      <c r="CB9" s="254" t="s">
        <v>684</v>
      </c>
      <c r="CC9" s="233"/>
      <c r="CD9" s="257">
        <v>363787216519466.25</v>
      </c>
      <c r="CE9" s="260">
        <v>443632103235.11542</v>
      </c>
      <c r="CF9" s="233"/>
      <c r="CG9" s="233"/>
      <c r="CH9" s="233"/>
      <c r="CI9" s="233"/>
      <c r="CJ9" s="233"/>
      <c r="CK9" s="233"/>
      <c r="CL9" s="235"/>
      <c r="CM9" s="235"/>
      <c r="CN9" s="235"/>
      <c r="CO9" s="235"/>
      <c r="CP9" s="235"/>
      <c r="CQ9" s="235"/>
      <c r="CR9" s="233"/>
      <c r="CS9" s="233">
        <v>2021</v>
      </c>
      <c r="CT9" s="233">
        <v>25</v>
      </c>
      <c r="CU9" s="233" t="s">
        <v>714</v>
      </c>
      <c r="CV9" s="233">
        <v>10858098403.479998</v>
      </c>
      <c r="CW9" s="233">
        <v>9827026374</v>
      </c>
      <c r="CX9" s="233">
        <v>433</v>
      </c>
      <c r="CY9" s="233">
        <v>45773051672.080009</v>
      </c>
      <c r="CZ9" s="233">
        <v>46464075321</v>
      </c>
      <c r="DA9" s="233">
        <v>215</v>
      </c>
      <c r="DB9" s="233">
        <v>34914953268.599998</v>
      </c>
      <c r="DC9" s="233">
        <v>36637048947</v>
      </c>
      <c r="DD9" s="233">
        <v>218</v>
      </c>
    </row>
    <row r="10" spans="1:118" x14ac:dyDescent="0.25">
      <c r="A10" s="143" t="s">
        <v>186</v>
      </c>
      <c r="B10" s="180"/>
      <c r="C10" s="180"/>
      <c r="D10" s="180"/>
      <c r="E10" s="209"/>
      <c r="F10" s="209"/>
      <c r="G10" s="209"/>
      <c r="H10" s="209"/>
      <c r="J10" s="147" t="str">
        <f t="shared" si="1"/>
        <v>ASell</v>
      </c>
      <c r="K10" s="222" t="s">
        <v>527</v>
      </c>
      <c r="L10" s="222" t="s">
        <v>530</v>
      </c>
      <c r="M10" s="226">
        <v>192967362294.38657</v>
      </c>
      <c r="N10" s="156" t="s">
        <v>186</v>
      </c>
      <c r="O10" s="231" t="s">
        <v>491</v>
      </c>
      <c r="P10" s="231" t="s">
        <v>492</v>
      </c>
      <c r="Q10" s="231" t="s">
        <v>493</v>
      </c>
      <c r="S10" s="241"/>
      <c r="T10" s="246"/>
      <c r="U10" s="246"/>
      <c r="V10" s="246"/>
      <c r="W10" s="246"/>
      <c r="X10" s="246"/>
      <c r="Y10" s="233"/>
      <c r="Z10" s="241" t="s">
        <v>642</v>
      </c>
      <c r="AA10" s="241">
        <v>0</v>
      </c>
      <c r="AB10" s="241">
        <v>0</v>
      </c>
      <c r="AC10" s="241">
        <v>0</v>
      </c>
      <c r="AD10" s="241">
        <v>0</v>
      </c>
      <c r="AE10" s="241">
        <v>0</v>
      </c>
      <c r="AF10" s="241"/>
      <c r="AG10" s="241" t="s">
        <v>642</v>
      </c>
      <c r="AH10" s="241">
        <v>0</v>
      </c>
      <c r="AI10" s="241">
        <v>0</v>
      </c>
      <c r="AJ10" s="241">
        <v>0</v>
      </c>
      <c r="AK10" s="241">
        <v>0</v>
      </c>
      <c r="AL10" s="241">
        <v>0</v>
      </c>
      <c r="AM10" s="233"/>
      <c r="AN10" s="241" t="s">
        <v>642</v>
      </c>
      <c r="AO10" s="241">
        <v>0</v>
      </c>
      <c r="AP10" s="241">
        <v>0</v>
      </c>
      <c r="AQ10" s="241">
        <v>0</v>
      </c>
      <c r="AR10" s="241">
        <v>0</v>
      </c>
      <c r="AS10" s="241">
        <v>0</v>
      </c>
      <c r="AT10" s="233"/>
      <c r="AU10" s="241" t="s">
        <v>642</v>
      </c>
      <c r="AV10" s="241">
        <v>0</v>
      </c>
      <c r="AW10" s="241">
        <v>0</v>
      </c>
      <c r="AX10" s="241">
        <v>0</v>
      </c>
      <c r="AY10" s="241">
        <v>0</v>
      </c>
      <c r="AZ10" s="241">
        <v>0</v>
      </c>
      <c r="BA10" s="233"/>
      <c r="BB10" s="241" t="s">
        <v>642</v>
      </c>
      <c r="BC10" s="241">
        <v>0</v>
      </c>
      <c r="BD10" s="241">
        <v>0</v>
      </c>
      <c r="BE10" s="241">
        <v>0</v>
      </c>
      <c r="BF10" s="241">
        <v>0</v>
      </c>
      <c r="BG10" s="241">
        <v>0</v>
      </c>
      <c r="BH10" s="235" t="s">
        <v>642</v>
      </c>
      <c r="BI10" s="241">
        <v>0</v>
      </c>
      <c r="BJ10" s="241">
        <v>0</v>
      </c>
      <c r="BK10" s="241">
        <v>0</v>
      </c>
      <c r="BL10" s="241">
        <v>0</v>
      </c>
      <c r="BM10" s="241">
        <v>0</v>
      </c>
      <c r="BN10" s="241"/>
      <c r="BO10" s="240" t="s">
        <v>439</v>
      </c>
      <c r="BP10" s="252" t="s">
        <v>629</v>
      </c>
      <c r="BQ10" s="252" t="s">
        <v>630</v>
      </c>
      <c r="BR10" s="252" t="s">
        <v>631</v>
      </c>
      <c r="BS10" s="233"/>
      <c r="BT10" s="253" t="s">
        <v>125</v>
      </c>
      <c r="BU10" s="253">
        <v>36</v>
      </c>
      <c r="BV10" s="253">
        <v>0</v>
      </c>
      <c r="BW10" s="253">
        <v>3</v>
      </c>
      <c r="BX10" s="253">
        <v>0</v>
      </c>
      <c r="BY10" s="253">
        <v>0</v>
      </c>
      <c r="BZ10" s="253">
        <v>33</v>
      </c>
      <c r="CA10" s="253">
        <v>26</v>
      </c>
      <c r="CB10" s="253">
        <v>10</v>
      </c>
      <c r="CC10" s="233"/>
      <c r="CD10" s="233"/>
      <c r="CE10" s="233"/>
      <c r="CF10" s="233"/>
      <c r="CG10" s="233"/>
      <c r="CH10" s="233"/>
      <c r="CI10" s="233"/>
      <c r="CJ10" s="233"/>
      <c r="CK10" s="235"/>
      <c r="CL10" s="235"/>
      <c r="CM10" s="235"/>
      <c r="CN10" s="235"/>
      <c r="CO10" s="235"/>
      <c r="CP10" s="235"/>
      <c r="CQ10" s="235"/>
      <c r="CR10" s="233"/>
      <c r="CS10" s="233"/>
      <c r="CT10" s="233"/>
      <c r="CU10" s="233"/>
      <c r="CV10" s="233"/>
      <c r="CW10" s="233"/>
      <c r="CX10" s="233"/>
      <c r="CY10" s="233"/>
      <c r="CZ10" s="233"/>
      <c r="DA10" s="233"/>
      <c r="DB10" s="233"/>
      <c r="DC10" s="233"/>
      <c r="DD10" s="233"/>
    </row>
    <row r="11" spans="1:118" x14ac:dyDescent="0.25">
      <c r="B11" s="180"/>
      <c r="C11" s="180"/>
      <c r="D11" s="180"/>
      <c r="E11" s="209"/>
      <c r="F11" s="209"/>
      <c r="G11" s="209"/>
      <c r="H11" s="209"/>
      <c r="J11" s="147" t="str">
        <f t="shared" si="1"/>
        <v>PSell</v>
      </c>
      <c r="K11" s="222" t="s">
        <v>529</v>
      </c>
      <c r="L11" s="222" t="s">
        <v>530</v>
      </c>
      <c r="M11" s="226">
        <v>234892570385.66397</v>
      </c>
      <c r="N11" s="151"/>
      <c r="O11" s="323">
        <v>969468452821</v>
      </c>
      <c r="P11" s="323">
        <v>-970485061219</v>
      </c>
      <c r="Q11" s="323">
        <v>-1016608398</v>
      </c>
      <c r="S11" s="241"/>
      <c r="T11" s="246"/>
      <c r="U11" s="246"/>
      <c r="V11" s="246"/>
      <c r="W11" s="246"/>
      <c r="X11" s="246"/>
      <c r="Y11" s="233"/>
      <c r="Z11" s="241" t="s">
        <v>643</v>
      </c>
      <c r="AA11" s="241">
        <v>0</v>
      </c>
      <c r="AB11" s="241">
        <v>0</v>
      </c>
      <c r="AC11" s="241">
        <v>0</v>
      </c>
      <c r="AD11" s="241">
        <v>0</v>
      </c>
      <c r="AE11" s="241">
        <v>0</v>
      </c>
      <c r="AF11" s="241"/>
      <c r="AG11" s="241" t="s">
        <v>643</v>
      </c>
      <c r="AH11" s="241">
        <v>0</v>
      </c>
      <c r="AI11" s="241">
        <v>0</v>
      </c>
      <c r="AJ11" s="241">
        <v>0</v>
      </c>
      <c r="AK11" s="241">
        <v>0</v>
      </c>
      <c r="AL11" s="241">
        <v>0</v>
      </c>
      <c r="AM11" s="233"/>
      <c r="AN11" s="241" t="s">
        <v>643</v>
      </c>
      <c r="AO11" s="241">
        <v>0</v>
      </c>
      <c r="AP11" s="241">
        <v>0</v>
      </c>
      <c r="AQ11" s="241">
        <v>0</v>
      </c>
      <c r="AR11" s="241">
        <v>0</v>
      </c>
      <c r="AS11" s="241">
        <v>0</v>
      </c>
      <c r="AT11" s="233"/>
      <c r="AU11" s="241" t="s">
        <v>643</v>
      </c>
      <c r="AV11" s="241">
        <v>0</v>
      </c>
      <c r="AW11" s="241">
        <v>0</v>
      </c>
      <c r="AX11" s="241">
        <v>0</v>
      </c>
      <c r="AY11" s="241">
        <v>0</v>
      </c>
      <c r="AZ11" s="241">
        <v>0</v>
      </c>
      <c r="BA11" s="233"/>
      <c r="BB11" s="241" t="s">
        <v>643</v>
      </c>
      <c r="BC11" s="241">
        <v>0</v>
      </c>
      <c r="BD11" s="241">
        <v>0</v>
      </c>
      <c r="BE11" s="241">
        <v>0</v>
      </c>
      <c r="BF11" s="241">
        <v>0</v>
      </c>
      <c r="BG11" s="241">
        <v>0</v>
      </c>
      <c r="BH11" s="235" t="s">
        <v>643</v>
      </c>
      <c r="BI11" s="241">
        <v>0</v>
      </c>
      <c r="BJ11" s="241">
        <v>0</v>
      </c>
      <c r="BK11" s="241">
        <v>0</v>
      </c>
      <c r="BL11" s="241">
        <v>0</v>
      </c>
      <c r="BM11" s="241">
        <v>0</v>
      </c>
      <c r="BN11" s="241"/>
      <c r="BO11" s="235"/>
      <c r="BP11" s="251"/>
      <c r="BQ11" s="251"/>
      <c r="BR11" s="251"/>
      <c r="BS11" s="233"/>
      <c r="BT11" s="253" t="s">
        <v>685</v>
      </c>
      <c r="BU11" s="253">
        <v>1</v>
      </c>
      <c r="BV11" s="253">
        <v>0</v>
      </c>
      <c r="BW11" s="253">
        <v>0</v>
      </c>
      <c r="BX11" s="253">
        <v>0</v>
      </c>
      <c r="BY11" s="253">
        <v>0</v>
      </c>
      <c r="BZ11" s="253">
        <v>1</v>
      </c>
      <c r="CA11" s="253">
        <v>1</v>
      </c>
      <c r="CB11" s="253">
        <v>0</v>
      </c>
      <c r="CC11" s="255" t="s">
        <v>472</v>
      </c>
      <c r="CD11" s="254" t="s">
        <v>690</v>
      </c>
      <c r="CE11" s="254" t="s">
        <v>692</v>
      </c>
      <c r="CF11" s="233"/>
      <c r="CG11" s="233"/>
      <c r="CH11" s="233"/>
      <c r="CI11" s="255" t="s">
        <v>478</v>
      </c>
      <c r="CJ11" s="235" t="s">
        <v>107</v>
      </c>
      <c r="CK11" s="235">
        <v>316934</v>
      </c>
      <c r="CL11" s="255" t="s">
        <v>481</v>
      </c>
      <c r="CM11" s="235" t="s">
        <v>107</v>
      </c>
      <c r="CN11" s="235">
        <v>135068</v>
      </c>
      <c r="CO11" s="255" t="s">
        <v>484</v>
      </c>
      <c r="CP11" s="235" t="s">
        <v>107</v>
      </c>
      <c r="CQ11" s="235">
        <v>10377</v>
      </c>
      <c r="CR11" s="233"/>
      <c r="CS11" s="233"/>
      <c r="CT11" s="233"/>
      <c r="CU11" s="233"/>
      <c r="CV11" s="233"/>
      <c r="CW11" s="233"/>
      <c r="CX11" s="233"/>
      <c r="CY11" s="233"/>
      <c r="CZ11" s="233"/>
      <c r="DA11" s="233"/>
      <c r="DB11" s="233"/>
      <c r="DC11" s="233"/>
      <c r="DD11" s="233"/>
    </row>
    <row r="12" spans="1:118" x14ac:dyDescent="0.25">
      <c r="B12" s="180"/>
      <c r="C12" s="180"/>
      <c r="D12" s="180"/>
      <c r="E12" s="209"/>
      <c r="F12" s="209"/>
      <c r="G12" s="209"/>
      <c r="H12" s="209"/>
      <c r="J12" s="147"/>
      <c r="K12" s="219"/>
      <c r="L12" s="218"/>
      <c r="M12" s="216"/>
      <c r="N12" s="151"/>
      <c r="O12" s="228"/>
      <c r="P12" s="228"/>
      <c r="Q12" s="228"/>
      <c r="S12" s="241"/>
      <c r="T12" s="246"/>
      <c r="U12" s="246"/>
      <c r="V12" s="246"/>
      <c r="W12" s="246"/>
      <c r="X12" s="246"/>
      <c r="Y12" s="233"/>
      <c r="Z12" s="241" t="s">
        <v>644</v>
      </c>
      <c r="AA12" s="241">
        <v>0</v>
      </c>
      <c r="AB12" s="241">
        <v>0</v>
      </c>
      <c r="AC12" s="241">
        <v>0</v>
      </c>
      <c r="AD12" s="241">
        <v>0</v>
      </c>
      <c r="AE12" s="241">
        <v>0</v>
      </c>
      <c r="AF12" s="241"/>
      <c r="AG12" s="241" t="s">
        <v>644</v>
      </c>
      <c r="AH12" s="241">
        <v>0</v>
      </c>
      <c r="AI12" s="241">
        <v>0</v>
      </c>
      <c r="AJ12" s="241">
        <v>0</v>
      </c>
      <c r="AK12" s="241">
        <v>0</v>
      </c>
      <c r="AL12" s="241">
        <v>0</v>
      </c>
      <c r="AM12" s="233"/>
      <c r="AN12" s="241" t="s">
        <v>644</v>
      </c>
      <c r="AO12" s="241">
        <v>0</v>
      </c>
      <c r="AP12" s="241">
        <v>0</v>
      </c>
      <c r="AQ12" s="241">
        <v>0</v>
      </c>
      <c r="AR12" s="241">
        <v>0</v>
      </c>
      <c r="AS12" s="241">
        <v>0</v>
      </c>
      <c r="AT12" s="233"/>
      <c r="AU12" s="241" t="s">
        <v>644</v>
      </c>
      <c r="AV12" s="241">
        <v>0</v>
      </c>
      <c r="AW12" s="241">
        <v>0</v>
      </c>
      <c r="AX12" s="241">
        <v>0</v>
      </c>
      <c r="AY12" s="241">
        <v>0</v>
      </c>
      <c r="AZ12" s="241">
        <v>0</v>
      </c>
      <c r="BA12" s="233"/>
      <c r="BB12" s="241" t="s">
        <v>644</v>
      </c>
      <c r="BC12" s="241">
        <v>0</v>
      </c>
      <c r="BD12" s="241">
        <v>0</v>
      </c>
      <c r="BE12" s="241">
        <v>0</v>
      </c>
      <c r="BF12" s="241">
        <v>0</v>
      </c>
      <c r="BG12" s="241">
        <v>0</v>
      </c>
      <c r="BH12" s="235" t="s">
        <v>644</v>
      </c>
      <c r="BI12" s="241">
        <v>0</v>
      </c>
      <c r="BJ12" s="241">
        <v>0</v>
      </c>
      <c r="BK12" s="241">
        <v>0</v>
      </c>
      <c r="BL12" s="241">
        <v>0</v>
      </c>
      <c r="BM12" s="241">
        <v>0</v>
      </c>
      <c r="BN12" s="241"/>
      <c r="BO12" s="235"/>
      <c r="BP12" s="251"/>
      <c r="BQ12" s="251"/>
      <c r="BR12" s="251"/>
      <c r="BS12" s="233"/>
      <c r="BT12" s="253" t="s">
        <v>686</v>
      </c>
      <c r="BU12" s="253">
        <v>287</v>
      </c>
      <c r="BV12" s="253">
        <v>7</v>
      </c>
      <c r="BW12" s="253">
        <v>18</v>
      </c>
      <c r="BX12" s="253">
        <v>0</v>
      </c>
      <c r="BY12" s="253">
        <v>0</v>
      </c>
      <c r="BZ12" s="253">
        <v>276</v>
      </c>
      <c r="CA12" s="253">
        <v>226</v>
      </c>
      <c r="CB12" s="253">
        <v>61</v>
      </c>
      <c r="CC12" s="233"/>
      <c r="CD12" s="257">
        <v>3811067774341517.5</v>
      </c>
      <c r="CE12" s="260">
        <v>5375592655706.3184</v>
      </c>
      <c r="CF12" s="233"/>
      <c r="CG12" s="233"/>
      <c r="CH12" s="233"/>
      <c r="CI12" s="235"/>
      <c r="CJ12" s="235" t="s">
        <v>693</v>
      </c>
      <c r="CK12" s="235">
        <v>10429638655419</v>
      </c>
      <c r="CL12" s="235"/>
      <c r="CM12" s="235" t="s">
        <v>693</v>
      </c>
      <c r="CN12" s="235">
        <v>20308146732579</v>
      </c>
      <c r="CO12" s="235"/>
      <c r="CP12" s="235" t="s">
        <v>693</v>
      </c>
      <c r="CQ12" s="235">
        <v>914228585981</v>
      </c>
      <c r="CR12" s="233"/>
      <c r="CS12" s="233"/>
      <c r="CT12" s="233"/>
      <c r="CU12" s="233"/>
      <c r="CV12" s="233"/>
      <c r="CW12" s="233"/>
      <c r="CX12" s="233"/>
      <c r="CY12" s="233"/>
      <c r="CZ12" s="233"/>
      <c r="DA12" s="233"/>
      <c r="DB12" s="233"/>
      <c r="DC12" s="233"/>
      <c r="DD12" s="233"/>
    </row>
    <row r="13" spans="1:118" x14ac:dyDescent="0.25">
      <c r="A13" s="143" t="s">
        <v>187</v>
      </c>
      <c r="B13" s="180"/>
      <c r="C13" s="180"/>
      <c r="D13" s="180"/>
      <c r="E13" s="209"/>
      <c r="F13" s="209"/>
      <c r="G13" s="209"/>
      <c r="H13" s="209"/>
      <c r="I13" s="148" t="s">
        <v>194</v>
      </c>
      <c r="J13" s="143" t="s">
        <v>193</v>
      </c>
      <c r="K13" s="223" t="s">
        <v>525</v>
      </c>
      <c r="L13" s="223" t="s">
        <v>526</v>
      </c>
      <c r="M13" s="225" t="s">
        <v>523</v>
      </c>
      <c r="N13" s="156" t="s">
        <v>187</v>
      </c>
      <c r="O13" s="231" t="s">
        <v>491</v>
      </c>
      <c r="P13" s="231" t="s">
        <v>492</v>
      </c>
      <c r="Q13" s="231" t="s">
        <v>493</v>
      </c>
      <c r="S13" s="241"/>
      <c r="T13" s="246"/>
      <c r="U13" s="246"/>
      <c r="V13" s="246"/>
      <c r="W13" s="246"/>
      <c r="X13" s="246"/>
      <c r="Y13" s="233"/>
      <c r="Z13" s="241" t="s">
        <v>645</v>
      </c>
      <c r="AA13" s="241">
        <v>0</v>
      </c>
      <c r="AB13" s="241">
        <v>0</v>
      </c>
      <c r="AC13" s="241">
        <v>0</v>
      </c>
      <c r="AD13" s="241">
        <v>0</v>
      </c>
      <c r="AE13" s="241">
        <v>0</v>
      </c>
      <c r="AF13" s="241"/>
      <c r="AG13" s="241" t="s">
        <v>645</v>
      </c>
      <c r="AH13" s="241">
        <v>0</v>
      </c>
      <c r="AI13" s="241">
        <v>0</v>
      </c>
      <c r="AJ13" s="241">
        <v>0</v>
      </c>
      <c r="AK13" s="241">
        <v>0</v>
      </c>
      <c r="AL13" s="241">
        <v>0</v>
      </c>
      <c r="AM13" s="233"/>
      <c r="AN13" s="241" t="s">
        <v>645</v>
      </c>
      <c r="AO13" s="241">
        <v>0</v>
      </c>
      <c r="AP13" s="241">
        <v>0</v>
      </c>
      <c r="AQ13" s="241">
        <v>0</v>
      </c>
      <c r="AR13" s="241">
        <v>0</v>
      </c>
      <c r="AS13" s="241">
        <v>0</v>
      </c>
      <c r="AT13" s="233"/>
      <c r="AU13" s="241" t="s">
        <v>645</v>
      </c>
      <c r="AV13" s="241">
        <v>0</v>
      </c>
      <c r="AW13" s="241">
        <v>0</v>
      </c>
      <c r="AX13" s="241">
        <v>0</v>
      </c>
      <c r="AY13" s="241">
        <v>0</v>
      </c>
      <c r="AZ13" s="241">
        <v>0</v>
      </c>
      <c r="BA13" s="233"/>
      <c r="BB13" s="241" t="s">
        <v>645</v>
      </c>
      <c r="BC13" s="241">
        <v>0</v>
      </c>
      <c r="BD13" s="241">
        <v>0</v>
      </c>
      <c r="BE13" s="241">
        <v>0</v>
      </c>
      <c r="BF13" s="241">
        <v>0</v>
      </c>
      <c r="BG13" s="241">
        <v>0</v>
      </c>
      <c r="BH13" s="235" t="s">
        <v>645</v>
      </c>
      <c r="BI13" s="241">
        <v>0</v>
      </c>
      <c r="BJ13" s="241">
        <v>0</v>
      </c>
      <c r="BK13" s="241">
        <v>0</v>
      </c>
      <c r="BL13" s="241">
        <v>0</v>
      </c>
      <c r="BM13" s="241">
        <v>0</v>
      </c>
      <c r="BN13" s="241"/>
      <c r="BO13" s="240" t="s">
        <v>451</v>
      </c>
      <c r="BP13" s="252" t="s">
        <v>632</v>
      </c>
      <c r="BQ13" s="251"/>
      <c r="BR13" s="251"/>
      <c r="BS13" s="233"/>
      <c r="BT13" s="253" t="s">
        <v>687</v>
      </c>
      <c r="BU13" s="253">
        <v>1</v>
      </c>
      <c r="BV13" s="253">
        <v>0</v>
      </c>
      <c r="BW13" s="253">
        <v>0</v>
      </c>
      <c r="BX13" s="253">
        <v>0</v>
      </c>
      <c r="BY13" s="253">
        <v>0</v>
      </c>
      <c r="BZ13" s="253">
        <v>1</v>
      </c>
      <c r="CA13" s="253">
        <v>1</v>
      </c>
      <c r="CB13" s="253">
        <v>0</v>
      </c>
      <c r="CC13" s="233"/>
      <c r="CD13" s="233"/>
      <c r="CE13" s="233"/>
      <c r="CF13" s="233"/>
      <c r="CG13" s="233"/>
      <c r="CH13" s="233"/>
      <c r="CI13" s="235"/>
      <c r="CJ13" s="235" t="s">
        <v>694</v>
      </c>
      <c r="CK13" s="235">
        <v>10052603832940.928</v>
      </c>
      <c r="CL13" s="235"/>
      <c r="CM13" s="235" t="s">
        <v>694</v>
      </c>
      <c r="CN13" s="235">
        <v>19656269418813.465</v>
      </c>
      <c r="CO13" s="235"/>
      <c r="CP13" s="235" t="s">
        <v>694</v>
      </c>
      <c r="CQ13" s="235">
        <v>332208981944.90997</v>
      </c>
      <c r="CR13" s="233"/>
      <c r="CS13" s="233"/>
      <c r="CT13" s="233"/>
      <c r="CU13" s="233"/>
      <c r="CV13" s="233"/>
      <c r="CW13" s="233"/>
      <c r="CX13" s="233"/>
      <c r="CY13" s="233"/>
      <c r="CZ13" s="233"/>
      <c r="DA13" s="233"/>
      <c r="DB13" s="233"/>
      <c r="DC13" s="233"/>
      <c r="DD13" s="233"/>
    </row>
    <row r="14" spans="1:118" x14ac:dyDescent="0.25">
      <c r="B14" s="180"/>
      <c r="C14" s="180"/>
      <c r="D14" s="180"/>
      <c r="E14" s="209"/>
      <c r="F14" s="209"/>
      <c r="G14" s="209"/>
      <c r="H14" s="209"/>
      <c r="J14" s="147" t="str">
        <f>K14&amp;L14</f>
        <v>ABuy</v>
      </c>
      <c r="K14" s="222" t="s">
        <v>527</v>
      </c>
      <c r="L14" s="222" t="s">
        <v>528</v>
      </c>
      <c r="M14" s="226">
        <v>183129619561.35001</v>
      </c>
      <c r="N14" s="151"/>
      <c r="O14" s="323">
        <v>784579000000</v>
      </c>
      <c r="P14" s="323">
        <v>-771216000000</v>
      </c>
      <c r="Q14" s="323">
        <v>13363000000</v>
      </c>
      <c r="S14" s="233"/>
      <c r="T14" s="233"/>
      <c r="U14" s="233"/>
      <c r="V14" s="233"/>
      <c r="W14" s="233"/>
      <c r="X14" s="233"/>
      <c r="Y14" s="233"/>
      <c r="Z14" s="241" t="s">
        <v>646</v>
      </c>
      <c r="AA14" s="241">
        <v>0</v>
      </c>
      <c r="AB14" s="241">
        <v>0</v>
      </c>
      <c r="AC14" s="241">
        <v>0</v>
      </c>
      <c r="AD14" s="241">
        <v>0</v>
      </c>
      <c r="AE14" s="241">
        <v>0</v>
      </c>
      <c r="AF14" s="241"/>
      <c r="AG14" s="241" t="s">
        <v>646</v>
      </c>
      <c r="AH14" s="241">
        <v>0</v>
      </c>
      <c r="AI14" s="241">
        <v>0</v>
      </c>
      <c r="AJ14" s="241">
        <v>0</v>
      </c>
      <c r="AK14" s="241">
        <v>0</v>
      </c>
      <c r="AL14" s="241">
        <v>0</v>
      </c>
      <c r="AM14" s="233"/>
      <c r="AN14" s="241" t="s">
        <v>646</v>
      </c>
      <c r="AO14" s="241">
        <v>0</v>
      </c>
      <c r="AP14" s="241">
        <v>0</v>
      </c>
      <c r="AQ14" s="241">
        <v>0</v>
      </c>
      <c r="AR14" s="241">
        <v>0</v>
      </c>
      <c r="AS14" s="241">
        <v>0</v>
      </c>
      <c r="AT14" s="233"/>
      <c r="AU14" s="241" t="s">
        <v>646</v>
      </c>
      <c r="AV14" s="241">
        <v>0</v>
      </c>
      <c r="AW14" s="241">
        <v>0</v>
      </c>
      <c r="AX14" s="241">
        <v>0</v>
      </c>
      <c r="AY14" s="241">
        <v>0</v>
      </c>
      <c r="AZ14" s="241">
        <v>0</v>
      </c>
      <c r="BA14" s="233"/>
      <c r="BB14" s="241" t="s">
        <v>646</v>
      </c>
      <c r="BC14" s="241">
        <v>0</v>
      </c>
      <c r="BD14" s="241">
        <v>0</v>
      </c>
      <c r="BE14" s="241">
        <v>0</v>
      </c>
      <c r="BF14" s="241">
        <v>0</v>
      </c>
      <c r="BG14" s="241">
        <v>0</v>
      </c>
      <c r="BH14" s="235" t="s">
        <v>646</v>
      </c>
      <c r="BI14" s="241">
        <v>0</v>
      </c>
      <c r="BJ14" s="241">
        <v>0</v>
      </c>
      <c r="BK14" s="241">
        <v>0</v>
      </c>
      <c r="BL14" s="241">
        <v>0</v>
      </c>
      <c r="BM14" s="241">
        <v>0</v>
      </c>
      <c r="BN14" s="241"/>
      <c r="BO14" s="235"/>
      <c r="BP14" s="251"/>
      <c r="BQ14" s="251"/>
      <c r="BR14" s="251"/>
      <c r="BS14" s="233"/>
      <c r="BT14" s="253"/>
      <c r="BU14" s="253"/>
      <c r="BV14" s="253"/>
      <c r="BW14" s="253"/>
      <c r="BX14" s="253"/>
      <c r="BY14" s="253"/>
      <c r="BZ14" s="253"/>
      <c r="CA14" s="253"/>
      <c r="CB14" s="253"/>
      <c r="CC14" s="255" t="s">
        <v>473</v>
      </c>
      <c r="CD14" s="261" t="s">
        <v>690</v>
      </c>
      <c r="CE14" s="261" t="s">
        <v>692</v>
      </c>
      <c r="CF14" s="233"/>
      <c r="CG14" s="233"/>
      <c r="CH14" s="233"/>
      <c r="CI14" s="235"/>
      <c r="CJ14" s="233"/>
      <c r="CK14" s="233"/>
      <c r="CL14" s="235"/>
      <c r="CM14" s="233"/>
      <c r="CN14" s="233"/>
      <c r="CO14" s="233"/>
      <c r="CP14" s="233"/>
      <c r="CQ14" s="233"/>
      <c r="CR14" s="255" t="s">
        <v>486</v>
      </c>
      <c r="CS14" s="264" t="s">
        <v>715</v>
      </c>
      <c r="CT14" s="263" t="s">
        <v>696</v>
      </c>
      <c r="CU14" s="263" t="s">
        <v>697</v>
      </c>
      <c r="CV14" s="263" t="s">
        <v>698</v>
      </c>
      <c r="CW14" s="263" t="s">
        <v>699</v>
      </c>
      <c r="CX14" s="263" t="s">
        <v>700</v>
      </c>
      <c r="CY14" s="263" t="s">
        <v>701</v>
      </c>
      <c r="CZ14" s="263" t="s">
        <v>702</v>
      </c>
      <c r="DA14" s="263" t="s">
        <v>703</v>
      </c>
      <c r="DB14" s="263" t="s">
        <v>704</v>
      </c>
      <c r="DC14" s="263" t="s">
        <v>705</v>
      </c>
      <c r="DD14" s="263" t="s">
        <v>706</v>
      </c>
    </row>
    <row r="15" spans="1:118" x14ac:dyDescent="0.25">
      <c r="B15" s="180"/>
      <c r="C15" s="180"/>
      <c r="D15" s="180"/>
      <c r="E15" s="209"/>
      <c r="F15" s="210"/>
      <c r="G15" s="210"/>
      <c r="H15" s="209"/>
      <c r="J15" s="147" t="str">
        <f t="shared" ref="J15:J17" si="2">K15&amp;L15</f>
        <v>PBuy</v>
      </c>
      <c r="K15" s="222" t="s">
        <v>529</v>
      </c>
      <c r="L15" s="222" t="s">
        <v>528</v>
      </c>
      <c r="M15" s="226">
        <v>226544374639.20499</v>
      </c>
      <c r="N15" s="151"/>
      <c r="O15" s="228"/>
      <c r="P15" s="228"/>
      <c r="Q15" s="228"/>
      <c r="S15" s="242"/>
      <c r="T15" s="245"/>
      <c r="U15" s="245"/>
      <c r="V15" s="245"/>
      <c r="W15" s="245"/>
      <c r="X15" s="245"/>
      <c r="Y15" s="233"/>
      <c r="Z15" s="241" t="s">
        <v>647</v>
      </c>
      <c r="AA15" s="241">
        <v>0</v>
      </c>
      <c r="AB15" s="241">
        <v>0</v>
      </c>
      <c r="AC15" s="241">
        <v>0</v>
      </c>
      <c r="AD15" s="241">
        <v>0</v>
      </c>
      <c r="AE15" s="241">
        <v>0</v>
      </c>
      <c r="AF15" s="241"/>
      <c r="AG15" s="241" t="s">
        <v>647</v>
      </c>
      <c r="AH15" s="241">
        <v>0</v>
      </c>
      <c r="AI15" s="241">
        <v>0</v>
      </c>
      <c r="AJ15" s="241">
        <v>0</v>
      </c>
      <c r="AK15" s="241">
        <v>0</v>
      </c>
      <c r="AL15" s="241">
        <v>0</v>
      </c>
      <c r="AM15" s="233"/>
      <c r="AN15" s="241" t="s">
        <v>647</v>
      </c>
      <c r="AO15" s="241">
        <v>0</v>
      </c>
      <c r="AP15" s="241">
        <v>0</v>
      </c>
      <c r="AQ15" s="241">
        <v>0</v>
      </c>
      <c r="AR15" s="241">
        <v>0</v>
      </c>
      <c r="AS15" s="241">
        <v>0</v>
      </c>
      <c r="AT15" s="233"/>
      <c r="AU15" s="241" t="s">
        <v>647</v>
      </c>
      <c r="AV15" s="241">
        <v>0</v>
      </c>
      <c r="AW15" s="241">
        <v>0</v>
      </c>
      <c r="AX15" s="241">
        <v>0</v>
      </c>
      <c r="AY15" s="241">
        <v>0</v>
      </c>
      <c r="AZ15" s="241">
        <v>0</v>
      </c>
      <c r="BA15" s="233"/>
      <c r="BB15" s="241" t="s">
        <v>647</v>
      </c>
      <c r="BC15" s="241">
        <v>0</v>
      </c>
      <c r="BD15" s="241">
        <v>0</v>
      </c>
      <c r="BE15" s="241">
        <v>0</v>
      </c>
      <c r="BF15" s="241">
        <v>0</v>
      </c>
      <c r="BG15" s="241">
        <v>0</v>
      </c>
      <c r="BH15" s="235" t="s">
        <v>647</v>
      </c>
      <c r="BI15" s="241">
        <v>0</v>
      </c>
      <c r="BJ15" s="241">
        <v>0</v>
      </c>
      <c r="BK15" s="241">
        <v>0</v>
      </c>
      <c r="BL15" s="241">
        <v>0</v>
      </c>
      <c r="BM15" s="241">
        <v>0</v>
      </c>
      <c r="BN15" s="241"/>
      <c r="BO15" s="235"/>
      <c r="BP15" s="251"/>
      <c r="BQ15" s="251"/>
      <c r="BR15" s="251"/>
      <c r="BS15" s="235"/>
      <c r="BT15" s="253"/>
      <c r="BU15" s="253"/>
      <c r="BV15" s="253"/>
      <c r="BW15" s="253"/>
      <c r="BX15" s="253"/>
      <c r="BY15" s="253"/>
      <c r="BZ15" s="253"/>
      <c r="CA15" s="253"/>
      <c r="CB15" s="253"/>
      <c r="CC15" s="235"/>
      <c r="CD15" s="262">
        <v>3256229649173477</v>
      </c>
      <c r="CE15" s="262">
        <v>5243350858266.0586</v>
      </c>
      <c r="CF15" s="233"/>
      <c r="CG15" s="233"/>
      <c r="CH15" s="233"/>
      <c r="CI15" s="233"/>
      <c r="CJ15" s="233"/>
      <c r="CK15" s="233"/>
      <c r="CL15" s="233"/>
      <c r="CM15" s="233"/>
      <c r="CN15" s="233"/>
      <c r="CO15" s="233"/>
      <c r="CP15" s="233"/>
      <c r="CQ15" s="233"/>
      <c r="CR15" s="235"/>
      <c r="CS15" s="265" t="s">
        <v>716</v>
      </c>
      <c r="CT15" s="263">
        <v>23</v>
      </c>
      <c r="CU15" s="263" t="s">
        <v>707</v>
      </c>
      <c r="CV15" s="263">
        <v>0</v>
      </c>
      <c r="CW15" s="263">
        <v>6272097491</v>
      </c>
      <c r="CX15" s="263">
        <v>398</v>
      </c>
      <c r="CY15" s="263">
        <v>0</v>
      </c>
      <c r="CZ15" s="263">
        <v>21535536955</v>
      </c>
      <c r="DA15" s="263">
        <v>184</v>
      </c>
      <c r="DB15" s="263">
        <v>0</v>
      </c>
      <c r="DC15" s="263">
        <v>15263439464</v>
      </c>
      <c r="DD15" s="263">
        <v>214</v>
      </c>
    </row>
    <row r="16" spans="1:118" x14ac:dyDescent="0.25">
      <c r="A16" s="143" t="s">
        <v>188</v>
      </c>
      <c r="B16" s="180"/>
      <c r="C16" s="180"/>
      <c r="D16" s="180"/>
      <c r="E16" s="209"/>
      <c r="F16" s="210"/>
      <c r="G16" s="210"/>
      <c r="H16" s="209"/>
      <c r="J16" s="147" t="str">
        <f t="shared" si="2"/>
        <v>ASell</v>
      </c>
      <c r="K16" s="222" t="s">
        <v>527</v>
      </c>
      <c r="L16" s="222" t="s">
        <v>530</v>
      </c>
      <c r="M16" s="226">
        <v>183434165310.88998</v>
      </c>
      <c r="N16" s="156" t="s">
        <v>188</v>
      </c>
      <c r="O16" s="231" t="s">
        <v>491</v>
      </c>
      <c r="P16" s="231" t="s">
        <v>492</v>
      </c>
      <c r="Q16" s="231" t="s">
        <v>493</v>
      </c>
      <c r="S16" s="241"/>
      <c r="T16" s="246"/>
      <c r="U16" s="246"/>
      <c r="V16" s="246"/>
      <c r="W16" s="246"/>
      <c r="X16" s="246"/>
      <c r="Y16" s="233"/>
      <c r="Z16" s="241" t="s">
        <v>648</v>
      </c>
      <c r="AA16" s="241">
        <v>0</v>
      </c>
      <c r="AB16" s="241">
        <v>0</v>
      </c>
      <c r="AC16" s="241">
        <v>0</v>
      </c>
      <c r="AD16" s="241">
        <v>0</v>
      </c>
      <c r="AE16" s="241">
        <v>0</v>
      </c>
      <c r="AF16" s="241"/>
      <c r="AG16" s="241" t="s">
        <v>648</v>
      </c>
      <c r="AH16" s="241">
        <v>0</v>
      </c>
      <c r="AI16" s="241">
        <v>0</v>
      </c>
      <c r="AJ16" s="241">
        <v>0</v>
      </c>
      <c r="AK16" s="241">
        <v>0</v>
      </c>
      <c r="AL16" s="241">
        <v>0</v>
      </c>
      <c r="AM16" s="233"/>
      <c r="AN16" s="241" t="s">
        <v>648</v>
      </c>
      <c r="AO16" s="241">
        <v>0</v>
      </c>
      <c r="AP16" s="241">
        <v>0</v>
      </c>
      <c r="AQ16" s="241">
        <v>0</v>
      </c>
      <c r="AR16" s="241">
        <v>0</v>
      </c>
      <c r="AS16" s="241">
        <v>0</v>
      </c>
      <c r="AT16" s="233"/>
      <c r="AU16" s="241" t="s">
        <v>648</v>
      </c>
      <c r="AV16" s="241">
        <v>0</v>
      </c>
      <c r="AW16" s="241">
        <v>0</v>
      </c>
      <c r="AX16" s="241">
        <v>0</v>
      </c>
      <c r="AY16" s="241">
        <v>0</v>
      </c>
      <c r="AZ16" s="241">
        <v>0</v>
      </c>
      <c r="BA16" s="233"/>
      <c r="BB16" s="241" t="s">
        <v>648</v>
      </c>
      <c r="BC16" s="241">
        <v>0</v>
      </c>
      <c r="BD16" s="241">
        <v>0</v>
      </c>
      <c r="BE16" s="241">
        <v>0</v>
      </c>
      <c r="BF16" s="241">
        <v>0</v>
      </c>
      <c r="BG16" s="241">
        <v>0</v>
      </c>
      <c r="BH16" s="235" t="s">
        <v>648</v>
      </c>
      <c r="BI16" s="241">
        <v>0</v>
      </c>
      <c r="BJ16" s="241">
        <v>0</v>
      </c>
      <c r="BK16" s="241">
        <v>0</v>
      </c>
      <c r="BL16" s="241">
        <v>0</v>
      </c>
      <c r="BM16" s="241">
        <v>0</v>
      </c>
      <c r="BN16" s="241"/>
      <c r="BO16" s="240" t="s">
        <v>452</v>
      </c>
      <c r="BP16" s="252" t="s">
        <v>632</v>
      </c>
      <c r="BQ16" s="251"/>
      <c r="BR16" s="251"/>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5"/>
      <c r="CS16" s="265" t="s">
        <v>716</v>
      </c>
      <c r="CT16" s="263">
        <v>1</v>
      </c>
      <c r="CU16" s="263" t="s">
        <v>708</v>
      </c>
      <c r="CV16" s="263">
        <v>2262123</v>
      </c>
      <c r="CW16" s="263">
        <v>3000000</v>
      </c>
      <c r="CX16" s="263">
        <v>1</v>
      </c>
      <c r="CY16" s="263">
        <v>2262123</v>
      </c>
      <c r="CZ16" s="263">
        <v>3000000</v>
      </c>
      <c r="DA16" s="263">
        <v>1</v>
      </c>
      <c r="DB16" s="263">
        <v>0</v>
      </c>
      <c r="DC16" s="263">
        <v>0</v>
      </c>
      <c r="DD16" s="263">
        <v>0</v>
      </c>
    </row>
    <row r="17" spans="1:108" x14ac:dyDescent="0.25">
      <c r="B17" s="180"/>
      <c r="C17" s="180"/>
      <c r="D17" s="180"/>
      <c r="E17" s="209"/>
      <c r="F17" s="209"/>
      <c r="G17" s="209"/>
      <c r="H17" s="209"/>
      <c r="J17" s="147" t="str">
        <f t="shared" si="2"/>
        <v>PSell</v>
      </c>
      <c r="K17" s="222" t="s">
        <v>529</v>
      </c>
      <c r="L17" s="222" t="s">
        <v>530</v>
      </c>
      <c r="M17" s="226">
        <v>226239828889.66498</v>
      </c>
      <c r="N17" s="151"/>
      <c r="O17" s="323">
        <v>645668000000</v>
      </c>
      <c r="P17" s="323">
        <v>-645833000000</v>
      </c>
      <c r="Q17" s="323">
        <v>-165000000</v>
      </c>
      <c r="R17" s="148" t="s">
        <v>420</v>
      </c>
      <c r="S17" s="241"/>
      <c r="T17" s="246"/>
      <c r="U17" s="246"/>
      <c r="V17" s="246"/>
      <c r="W17" s="246"/>
      <c r="X17" s="246"/>
      <c r="Y17" s="233"/>
      <c r="Z17" s="241" t="s">
        <v>649</v>
      </c>
      <c r="AA17" s="241">
        <v>0</v>
      </c>
      <c r="AB17" s="241">
        <v>0</v>
      </c>
      <c r="AC17" s="241">
        <v>0</v>
      </c>
      <c r="AD17" s="241">
        <v>0</v>
      </c>
      <c r="AE17" s="241">
        <v>0</v>
      </c>
      <c r="AF17" s="241"/>
      <c r="AG17" s="241" t="s">
        <v>649</v>
      </c>
      <c r="AH17" s="241">
        <v>0</v>
      </c>
      <c r="AI17" s="241">
        <v>0</v>
      </c>
      <c r="AJ17" s="241">
        <v>0</v>
      </c>
      <c r="AK17" s="241">
        <v>0</v>
      </c>
      <c r="AL17" s="241">
        <v>0</v>
      </c>
      <c r="AM17" s="233"/>
      <c r="AN17" s="241" t="s">
        <v>649</v>
      </c>
      <c r="AO17" s="241">
        <v>0</v>
      </c>
      <c r="AP17" s="241">
        <v>0</v>
      </c>
      <c r="AQ17" s="241">
        <v>0</v>
      </c>
      <c r="AR17" s="241">
        <v>0</v>
      </c>
      <c r="AS17" s="241">
        <v>0</v>
      </c>
      <c r="AT17" s="233"/>
      <c r="AU17" s="241" t="s">
        <v>649</v>
      </c>
      <c r="AV17" s="241">
        <v>0</v>
      </c>
      <c r="AW17" s="241">
        <v>0</v>
      </c>
      <c r="AX17" s="241">
        <v>0</v>
      </c>
      <c r="AY17" s="241">
        <v>0</v>
      </c>
      <c r="AZ17" s="241">
        <v>0</v>
      </c>
      <c r="BA17" s="233"/>
      <c r="BB17" s="241" t="s">
        <v>649</v>
      </c>
      <c r="BC17" s="241">
        <v>0</v>
      </c>
      <c r="BD17" s="241">
        <v>0</v>
      </c>
      <c r="BE17" s="241">
        <v>0</v>
      </c>
      <c r="BF17" s="241">
        <v>0</v>
      </c>
      <c r="BG17" s="241">
        <v>0</v>
      </c>
      <c r="BH17" s="235" t="s">
        <v>649</v>
      </c>
      <c r="BI17" s="241">
        <v>0</v>
      </c>
      <c r="BJ17" s="241">
        <v>0</v>
      </c>
      <c r="BK17" s="241">
        <v>0</v>
      </c>
      <c r="BL17" s="241">
        <v>0</v>
      </c>
      <c r="BM17" s="241">
        <v>0</v>
      </c>
      <c r="BN17" s="241"/>
      <c r="BO17" s="235"/>
      <c r="BP17" s="251"/>
      <c r="BQ17" s="251"/>
      <c r="BR17" s="251"/>
      <c r="BS17" s="244" t="s">
        <v>467</v>
      </c>
      <c r="BT17" s="254" t="s">
        <v>676</v>
      </c>
      <c r="BU17" s="254" t="s">
        <v>677</v>
      </c>
      <c r="BV17" s="254" t="s">
        <v>678</v>
      </c>
      <c r="BW17" s="254" t="s">
        <v>679</v>
      </c>
      <c r="BX17" s="254" t="s">
        <v>680</v>
      </c>
      <c r="BY17" s="254" t="s">
        <v>681</v>
      </c>
      <c r="BZ17" s="254" t="s">
        <v>682</v>
      </c>
      <c r="CA17" s="254" t="s">
        <v>683</v>
      </c>
      <c r="CB17" s="254" t="s">
        <v>684</v>
      </c>
      <c r="CC17" s="337" t="s">
        <v>495</v>
      </c>
      <c r="CD17" s="336" t="s">
        <v>690</v>
      </c>
      <c r="CE17" s="336" t="s">
        <v>692</v>
      </c>
      <c r="CF17" s="233"/>
      <c r="CG17" s="233"/>
      <c r="CH17" s="233"/>
      <c r="CI17" s="233"/>
      <c r="CJ17" s="233"/>
      <c r="CK17" s="233"/>
      <c r="CL17" s="233"/>
      <c r="CM17" s="233"/>
      <c r="CN17" s="233"/>
      <c r="CO17" s="233"/>
      <c r="CP17" s="233"/>
      <c r="CQ17" s="233"/>
      <c r="CR17" s="235"/>
      <c r="CS17" s="265" t="s">
        <v>716</v>
      </c>
      <c r="CT17" s="263">
        <v>20</v>
      </c>
      <c r="CU17" s="263" t="s">
        <v>710</v>
      </c>
      <c r="CV17" s="263">
        <v>-77770643744.880051</v>
      </c>
      <c r="CW17" s="263">
        <v>-87922862369</v>
      </c>
      <c r="CX17" s="263">
        <v>545</v>
      </c>
      <c r="CY17" s="263">
        <v>37324065845.920006</v>
      </c>
      <c r="CZ17" s="263">
        <v>38683673631</v>
      </c>
      <c r="DA17" s="263">
        <v>194</v>
      </c>
      <c r="DB17" s="263">
        <v>115094709590.80003</v>
      </c>
      <c r="DC17" s="263">
        <v>126606536000</v>
      </c>
      <c r="DD17" s="263">
        <v>351</v>
      </c>
    </row>
    <row r="18" spans="1:108" x14ac:dyDescent="0.25">
      <c r="B18" s="180"/>
      <c r="C18" s="180"/>
      <c r="D18" s="180"/>
      <c r="E18" s="209"/>
      <c r="F18" s="209"/>
      <c r="G18" s="209"/>
      <c r="H18" s="209"/>
      <c r="J18" s="147"/>
      <c r="K18" s="217"/>
      <c r="L18" s="217"/>
      <c r="M18" s="216"/>
      <c r="N18" s="151"/>
      <c r="O18" s="228"/>
      <c r="P18" s="228"/>
      <c r="Q18" s="228"/>
      <c r="S18" s="241"/>
      <c r="T18" s="246"/>
      <c r="U18" s="246"/>
      <c r="V18" s="246"/>
      <c r="W18" s="246"/>
      <c r="X18" s="246"/>
      <c r="Y18" s="233"/>
      <c r="Z18" s="241" t="s">
        <v>650</v>
      </c>
      <c r="AA18" s="241">
        <v>0</v>
      </c>
      <c r="AB18" s="241">
        <v>0</v>
      </c>
      <c r="AC18" s="241">
        <v>0</v>
      </c>
      <c r="AD18" s="241">
        <v>0</v>
      </c>
      <c r="AE18" s="241">
        <v>0</v>
      </c>
      <c r="AF18" s="241"/>
      <c r="AG18" s="241" t="s">
        <v>650</v>
      </c>
      <c r="AH18" s="241">
        <v>0</v>
      </c>
      <c r="AI18" s="241">
        <v>0</v>
      </c>
      <c r="AJ18" s="241">
        <v>0</v>
      </c>
      <c r="AK18" s="241">
        <v>0</v>
      </c>
      <c r="AL18" s="241">
        <v>0</v>
      </c>
      <c r="AM18" s="233"/>
      <c r="AN18" s="241" t="s">
        <v>650</v>
      </c>
      <c r="AO18" s="241">
        <v>0</v>
      </c>
      <c r="AP18" s="241">
        <v>0</v>
      </c>
      <c r="AQ18" s="241">
        <v>0</v>
      </c>
      <c r="AR18" s="241">
        <v>0</v>
      </c>
      <c r="AS18" s="241">
        <v>0</v>
      </c>
      <c r="AT18" s="233"/>
      <c r="AU18" s="241" t="s">
        <v>650</v>
      </c>
      <c r="AV18" s="241">
        <v>0</v>
      </c>
      <c r="AW18" s="241">
        <v>0</v>
      </c>
      <c r="AX18" s="241">
        <v>0</v>
      </c>
      <c r="AY18" s="241">
        <v>0</v>
      </c>
      <c r="AZ18" s="241">
        <v>0</v>
      </c>
      <c r="BA18" s="233"/>
      <c r="BB18" s="241" t="s">
        <v>650</v>
      </c>
      <c r="BC18" s="241">
        <v>0</v>
      </c>
      <c r="BD18" s="241">
        <v>0</v>
      </c>
      <c r="BE18" s="241">
        <v>0</v>
      </c>
      <c r="BF18" s="241">
        <v>0</v>
      </c>
      <c r="BG18" s="241">
        <v>0</v>
      </c>
      <c r="BH18" s="235" t="s">
        <v>650</v>
      </c>
      <c r="BI18" s="241">
        <v>0</v>
      </c>
      <c r="BJ18" s="241">
        <v>0</v>
      </c>
      <c r="BK18" s="241">
        <v>0</v>
      </c>
      <c r="BL18" s="241">
        <v>0</v>
      </c>
      <c r="BM18" s="241">
        <v>0</v>
      </c>
      <c r="BN18" s="241"/>
      <c r="BO18" s="235"/>
      <c r="BP18" s="251"/>
      <c r="BQ18" s="251"/>
      <c r="BR18" s="251"/>
      <c r="BS18" s="233"/>
      <c r="BT18" s="253" t="s">
        <v>125</v>
      </c>
      <c r="BU18" s="235">
        <v>39</v>
      </c>
      <c r="BV18" s="253">
        <v>0</v>
      </c>
      <c r="BW18" s="253">
        <v>2</v>
      </c>
      <c r="BX18" s="253">
        <v>1</v>
      </c>
      <c r="BY18" s="253">
        <v>0</v>
      </c>
      <c r="BZ18" s="253">
        <v>36</v>
      </c>
      <c r="CA18" s="253">
        <v>29</v>
      </c>
      <c r="CB18" s="253">
        <v>10</v>
      </c>
      <c r="CC18" s="334"/>
      <c r="CD18" s="338">
        <v>17369499932618.291</v>
      </c>
      <c r="CE18" s="339">
        <v>52916338257.415573</v>
      </c>
      <c r="CF18" s="233"/>
      <c r="CG18" s="233"/>
      <c r="CH18" s="233"/>
      <c r="CI18" s="233"/>
      <c r="CJ18" s="233"/>
      <c r="CK18" s="233"/>
      <c r="CL18" s="233"/>
      <c r="CM18" s="233"/>
      <c r="CN18" s="233"/>
      <c r="CO18" s="233"/>
      <c r="CP18" s="233"/>
      <c r="CQ18" s="233"/>
      <c r="CR18" s="235"/>
      <c r="CS18" s="265" t="s">
        <v>716</v>
      </c>
      <c r="CT18" s="263">
        <v>20</v>
      </c>
      <c r="CU18" s="263" t="s">
        <v>711</v>
      </c>
      <c r="CV18" s="263">
        <v>76527978639.629959</v>
      </c>
      <c r="CW18" s="263">
        <v>86112862369</v>
      </c>
      <c r="CX18" s="263">
        <v>533</v>
      </c>
      <c r="CY18" s="263">
        <v>111941309251.87999</v>
      </c>
      <c r="CZ18" s="263">
        <v>123069536000</v>
      </c>
      <c r="DA18" s="263">
        <v>343</v>
      </c>
      <c r="DB18" s="263">
        <v>35413330612.249992</v>
      </c>
      <c r="DC18" s="263">
        <v>36956673631</v>
      </c>
      <c r="DD18" s="263">
        <v>190</v>
      </c>
    </row>
    <row r="19" spans="1:108" x14ac:dyDescent="0.25">
      <c r="A19" s="143" t="s">
        <v>189</v>
      </c>
      <c r="B19" s="180"/>
      <c r="C19" s="180"/>
      <c r="D19" s="180"/>
      <c r="E19" s="209"/>
      <c r="F19" s="209"/>
      <c r="G19" s="209"/>
      <c r="H19" s="209"/>
      <c r="I19" s="148" t="s">
        <v>195</v>
      </c>
      <c r="J19" s="143" t="s">
        <v>193</v>
      </c>
      <c r="K19" s="223" t="s">
        <v>525</v>
      </c>
      <c r="L19" s="223" t="s">
        <v>526</v>
      </c>
      <c r="M19" s="225" t="s">
        <v>523</v>
      </c>
      <c r="N19" s="156" t="s">
        <v>189</v>
      </c>
      <c r="O19" s="231" t="s">
        <v>491</v>
      </c>
      <c r="P19" s="231" t="s">
        <v>492</v>
      </c>
      <c r="Q19" s="231" t="s">
        <v>493</v>
      </c>
      <c r="S19" s="241"/>
      <c r="T19" s="246"/>
      <c r="U19" s="246"/>
      <c r="V19" s="246"/>
      <c r="W19" s="246"/>
      <c r="X19" s="246"/>
      <c r="Y19" s="233"/>
      <c r="Z19" s="241" t="s">
        <v>651</v>
      </c>
      <c r="AA19" s="241">
        <v>0</v>
      </c>
      <c r="AB19" s="241">
        <v>0</v>
      </c>
      <c r="AC19" s="241">
        <v>0</v>
      </c>
      <c r="AD19" s="241">
        <v>0</v>
      </c>
      <c r="AE19" s="241">
        <v>0</v>
      </c>
      <c r="AF19" s="241"/>
      <c r="AG19" s="241" t="s">
        <v>653</v>
      </c>
      <c r="AH19" s="241">
        <v>0</v>
      </c>
      <c r="AI19" s="241">
        <v>0</v>
      </c>
      <c r="AJ19" s="241">
        <v>0</v>
      </c>
      <c r="AK19" s="241">
        <v>0</v>
      </c>
      <c r="AL19" s="241">
        <v>0</v>
      </c>
      <c r="AM19" s="233"/>
      <c r="AN19" s="241" t="s">
        <v>651</v>
      </c>
      <c r="AO19" s="241">
        <v>0</v>
      </c>
      <c r="AP19" s="241">
        <v>0</v>
      </c>
      <c r="AQ19" s="241">
        <v>0</v>
      </c>
      <c r="AR19" s="241">
        <v>0</v>
      </c>
      <c r="AS19" s="241">
        <v>0</v>
      </c>
      <c r="AT19" s="233"/>
      <c r="AU19" s="241" t="s">
        <v>651</v>
      </c>
      <c r="AV19" s="241">
        <v>0</v>
      </c>
      <c r="AW19" s="241">
        <v>0</v>
      </c>
      <c r="AX19" s="241">
        <v>0</v>
      </c>
      <c r="AY19" s="241">
        <v>0</v>
      </c>
      <c r="AZ19" s="241">
        <v>0</v>
      </c>
      <c r="BA19" s="233"/>
      <c r="BB19" s="241" t="s">
        <v>651</v>
      </c>
      <c r="BC19" s="241">
        <v>0</v>
      </c>
      <c r="BD19" s="241">
        <v>0</v>
      </c>
      <c r="BE19" s="241">
        <v>0</v>
      </c>
      <c r="BF19" s="241">
        <v>0</v>
      </c>
      <c r="BG19" s="241">
        <v>0</v>
      </c>
      <c r="BH19" s="235" t="s">
        <v>651</v>
      </c>
      <c r="BI19" s="241">
        <v>0</v>
      </c>
      <c r="BJ19" s="241">
        <v>0</v>
      </c>
      <c r="BK19" s="241">
        <v>0</v>
      </c>
      <c r="BL19" s="241">
        <v>0</v>
      </c>
      <c r="BM19" s="241">
        <v>0</v>
      </c>
      <c r="BN19" s="241"/>
      <c r="BO19" s="244" t="s">
        <v>449</v>
      </c>
      <c r="BP19" s="252" t="s">
        <v>523</v>
      </c>
      <c r="BQ19" s="252" t="s">
        <v>630</v>
      </c>
      <c r="BR19" s="252" t="s">
        <v>631</v>
      </c>
      <c r="BS19" s="233"/>
      <c r="BT19" s="253" t="s">
        <v>685</v>
      </c>
      <c r="BU19" s="253">
        <v>1</v>
      </c>
      <c r="BV19" s="253">
        <v>0</v>
      </c>
      <c r="BW19" s="253">
        <v>0</v>
      </c>
      <c r="BX19" s="253">
        <v>0</v>
      </c>
      <c r="BY19" s="253">
        <v>0</v>
      </c>
      <c r="BZ19" s="253">
        <v>1</v>
      </c>
      <c r="CA19" s="253">
        <v>1</v>
      </c>
      <c r="CB19" s="253">
        <v>0</v>
      </c>
      <c r="CC19" s="233"/>
      <c r="CD19" s="233"/>
      <c r="CE19" s="233"/>
      <c r="CF19" s="233"/>
      <c r="CG19" s="233"/>
      <c r="CH19" s="233"/>
      <c r="CI19" s="233"/>
      <c r="CJ19" s="233"/>
      <c r="CK19" s="233"/>
      <c r="CL19" s="233"/>
      <c r="CM19" s="233"/>
      <c r="CN19" s="233"/>
      <c r="CO19" s="233"/>
      <c r="CP19" s="233"/>
      <c r="CQ19" s="233"/>
      <c r="CR19" s="235"/>
      <c r="CS19" s="265" t="s">
        <v>716</v>
      </c>
      <c r="CT19" s="263">
        <v>86</v>
      </c>
      <c r="CU19" s="263" t="s">
        <v>712</v>
      </c>
      <c r="CV19" s="263">
        <v>-27944785441.970013</v>
      </c>
      <c r="CW19" s="263">
        <v>-27252435276</v>
      </c>
      <c r="CX19" s="263">
        <v>810</v>
      </c>
      <c r="CY19" s="263">
        <v>18051858467.62999</v>
      </c>
      <c r="CZ19" s="263">
        <v>18269868553</v>
      </c>
      <c r="DA19" s="263">
        <v>378</v>
      </c>
      <c r="DB19" s="263">
        <v>45996643909.599976</v>
      </c>
      <c r="DC19" s="263">
        <v>45522303829</v>
      </c>
      <c r="DD19" s="263">
        <v>432</v>
      </c>
    </row>
    <row r="20" spans="1:108" x14ac:dyDescent="0.25">
      <c r="B20" s="180"/>
      <c r="C20" s="180"/>
      <c r="D20" s="180"/>
      <c r="E20" s="209"/>
      <c r="F20" s="209"/>
      <c r="G20" s="209"/>
      <c r="H20" s="209"/>
      <c r="J20" s="147" t="str">
        <f>K20&amp;L20</f>
        <v>ABuy</v>
      </c>
      <c r="K20" s="222" t="s">
        <v>527</v>
      </c>
      <c r="L20" s="222" t="s">
        <v>528</v>
      </c>
      <c r="M20" s="226">
        <v>180722673053.82498</v>
      </c>
      <c r="N20" s="151"/>
      <c r="O20" s="323">
        <v>525050000000</v>
      </c>
      <c r="P20" s="323">
        <v>-528401000000</v>
      </c>
      <c r="Q20" s="323">
        <v>-3351000000</v>
      </c>
      <c r="S20" s="241"/>
      <c r="T20" s="246"/>
      <c r="U20" s="246"/>
      <c r="V20" s="246"/>
      <c r="W20" s="246"/>
      <c r="X20" s="246"/>
      <c r="Y20" s="233"/>
      <c r="Z20" s="241" t="s">
        <v>652</v>
      </c>
      <c r="AA20" s="241">
        <v>0</v>
      </c>
      <c r="AB20" s="241">
        <v>0</v>
      </c>
      <c r="AC20" s="241">
        <v>0</v>
      </c>
      <c r="AD20" s="241">
        <v>0</v>
      </c>
      <c r="AE20" s="241">
        <v>0</v>
      </c>
      <c r="AF20" s="241"/>
      <c r="AG20" s="241" t="s">
        <v>654</v>
      </c>
      <c r="AH20" s="241">
        <v>0</v>
      </c>
      <c r="AI20" s="241">
        <v>0</v>
      </c>
      <c r="AJ20" s="241">
        <v>0</v>
      </c>
      <c r="AK20" s="241">
        <v>0</v>
      </c>
      <c r="AL20" s="241">
        <v>0</v>
      </c>
      <c r="AM20" s="233"/>
      <c r="AN20" s="241" t="s">
        <v>652</v>
      </c>
      <c r="AO20" s="241">
        <v>0</v>
      </c>
      <c r="AP20" s="241">
        <v>0</v>
      </c>
      <c r="AQ20" s="241">
        <v>0</v>
      </c>
      <c r="AR20" s="241">
        <v>0</v>
      </c>
      <c r="AS20" s="241">
        <v>0</v>
      </c>
      <c r="AT20" s="233"/>
      <c r="AU20" s="241" t="s">
        <v>652</v>
      </c>
      <c r="AV20" s="241">
        <v>0</v>
      </c>
      <c r="AW20" s="241">
        <v>0</v>
      </c>
      <c r="AX20" s="241">
        <v>0</v>
      </c>
      <c r="AY20" s="241">
        <v>0</v>
      </c>
      <c r="AZ20" s="241">
        <v>0</v>
      </c>
      <c r="BA20" s="233"/>
      <c r="BB20" s="241" t="s">
        <v>652</v>
      </c>
      <c r="BC20" s="241">
        <v>0</v>
      </c>
      <c r="BD20" s="241">
        <v>0</v>
      </c>
      <c r="BE20" s="241">
        <v>0</v>
      </c>
      <c r="BF20" s="241">
        <v>0</v>
      </c>
      <c r="BG20" s="241">
        <v>0</v>
      </c>
      <c r="BH20" s="235" t="s">
        <v>652</v>
      </c>
      <c r="BI20" s="241">
        <v>0</v>
      </c>
      <c r="BJ20" s="241">
        <v>0</v>
      </c>
      <c r="BK20" s="241">
        <v>0</v>
      </c>
      <c r="BL20" s="241">
        <v>0</v>
      </c>
      <c r="BM20" s="241">
        <v>0</v>
      </c>
      <c r="BN20" s="241"/>
      <c r="BO20" s="235"/>
      <c r="BP20" s="251">
        <v>72101240196.100006</v>
      </c>
      <c r="BQ20" s="251">
        <v>785182</v>
      </c>
      <c r="BR20" s="251">
        <v>1079</v>
      </c>
      <c r="BS20" s="233"/>
      <c r="BT20" s="253" t="s">
        <v>688</v>
      </c>
      <c r="BU20" s="253">
        <v>1</v>
      </c>
      <c r="BV20" s="253">
        <v>0</v>
      </c>
      <c r="BW20" s="253">
        <v>0</v>
      </c>
      <c r="BX20" s="253">
        <v>0</v>
      </c>
      <c r="BY20" s="253">
        <v>0</v>
      </c>
      <c r="BZ20" s="253">
        <v>1</v>
      </c>
      <c r="CA20" s="253">
        <v>1</v>
      </c>
      <c r="CB20" s="253">
        <v>0</v>
      </c>
      <c r="CC20" s="337" t="s">
        <v>494</v>
      </c>
      <c r="CD20" s="336" t="s">
        <v>690</v>
      </c>
      <c r="CE20" s="336" t="s">
        <v>692</v>
      </c>
      <c r="CF20" s="233"/>
      <c r="CG20" s="233"/>
      <c r="CH20" s="233"/>
      <c r="CI20" s="233"/>
      <c r="CJ20" s="233"/>
      <c r="CK20" s="233"/>
      <c r="CL20" s="233"/>
      <c r="CM20" s="233"/>
      <c r="CN20" s="233"/>
      <c r="CO20" s="233"/>
      <c r="CP20" s="233"/>
      <c r="CQ20" s="233"/>
      <c r="CR20" s="235"/>
      <c r="CS20" s="265" t="s">
        <v>716</v>
      </c>
      <c r="CT20" s="263">
        <v>36</v>
      </c>
      <c r="CU20" s="263" t="s">
        <v>713</v>
      </c>
      <c r="CV20" s="263">
        <v>-7910299654.0600004</v>
      </c>
      <c r="CW20" s="263">
        <v>-8264376295</v>
      </c>
      <c r="CX20" s="263">
        <v>2615</v>
      </c>
      <c r="CY20" s="263">
        <v>90770864210.880127</v>
      </c>
      <c r="CZ20" s="263">
        <v>93480258668</v>
      </c>
      <c r="DA20" s="263">
        <v>1311</v>
      </c>
      <c r="DB20" s="263">
        <v>98681163864.940002</v>
      </c>
      <c r="DC20" s="263">
        <v>101744634963</v>
      </c>
      <c r="DD20" s="263">
        <v>1304</v>
      </c>
    </row>
    <row r="21" spans="1:108" x14ac:dyDescent="0.25">
      <c r="B21" s="178"/>
      <c r="C21" s="178"/>
      <c r="D21" s="178"/>
      <c r="E21" s="197"/>
      <c r="F21" s="197"/>
      <c r="G21" s="197"/>
      <c r="H21" s="197"/>
      <c r="J21" s="147" t="str">
        <f t="shared" ref="J21:J22" si="3">K21&amp;L21</f>
        <v>PBuy</v>
      </c>
      <c r="K21" s="222" t="s">
        <v>529</v>
      </c>
      <c r="L21" s="222" t="s">
        <v>528</v>
      </c>
      <c r="M21" s="226">
        <v>205338292274.14499</v>
      </c>
      <c r="O21" s="227"/>
      <c r="P21" s="227"/>
      <c r="Q21" s="227"/>
      <c r="S21" s="241"/>
      <c r="T21" s="246"/>
      <c r="U21" s="246"/>
      <c r="V21" s="246"/>
      <c r="W21" s="246"/>
      <c r="X21" s="246"/>
      <c r="Y21" s="233"/>
      <c r="Z21" s="241" t="s">
        <v>653</v>
      </c>
      <c r="AA21" s="241">
        <v>0</v>
      </c>
      <c r="AB21" s="241">
        <v>0</v>
      </c>
      <c r="AC21" s="241">
        <v>0</v>
      </c>
      <c r="AD21" s="241">
        <v>0</v>
      </c>
      <c r="AE21" s="241">
        <v>0</v>
      </c>
      <c r="AF21" s="241"/>
      <c r="AG21" s="241" t="s">
        <v>655</v>
      </c>
      <c r="AH21" s="241">
        <v>0</v>
      </c>
      <c r="AI21" s="241">
        <v>0</v>
      </c>
      <c r="AJ21" s="241">
        <v>0</v>
      </c>
      <c r="AK21" s="241">
        <v>0</v>
      </c>
      <c r="AL21" s="241">
        <v>0</v>
      </c>
      <c r="AM21" s="233"/>
      <c r="AN21" s="241" t="s">
        <v>653</v>
      </c>
      <c r="AO21" s="241">
        <v>0</v>
      </c>
      <c r="AP21" s="241">
        <v>0</v>
      </c>
      <c r="AQ21" s="241">
        <v>0</v>
      </c>
      <c r="AR21" s="241">
        <v>0</v>
      </c>
      <c r="AS21" s="241">
        <v>0</v>
      </c>
      <c r="AT21" s="233"/>
      <c r="AU21" s="241" t="s">
        <v>653</v>
      </c>
      <c r="AV21" s="241">
        <v>0</v>
      </c>
      <c r="AW21" s="241">
        <v>0</v>
      </c>
      <c r="AX21" s="241">
        <v>0</v>
      </c>
      <c r="AY21" s="241">
        <v>0</v>
      </c>
      <c r="AZ21" s="241">
        <v>0</v>
      </c>
      <c r="BA21" s="233"/>
      <c r="BB21" s="241" t="s">
        <v>653</v>
      </c>
      <c r="BC21" s="241">
        <v>0</v>
      </c>
      <c r="BD21" s="241">
        <v>0</v>
      </c>
      <c r="BE21" s="241">
        <v>0</v>
      </c>
      <c r="BF21" s="241">
        <v>0</v>
      </c>
      <c r="BG21" s="241">
        <v>0</v>
      </c>
      <c r="BH21" s="235" t="s">
        <v>653</v>
      </c>
      <c r="BI21" s="241">
        <v>0</v>
      </c>
      <c r="BJ21" s="241">
        <v>0</v>
      </c>
      <c r="BK21" s="241">
        <v>0</v>
      </c>
      <c r="BL21" s="241">
        <v>0</v>
      </c>
      <c r="BM21" s="241">
        <v>0</v>
      </c>
      <c r="BN21" s="241"/>
      <c r="BO21" s="235"/>
      <c r="BP21" s="251"/>
      <c r="BQ21" s="251"/>
      <c r="BR21" s="251"/>
      <c r="BS21" s="233"/>
      <c r="BT21" s="253" t="s">
        <v>686</v>
      </c>
      <c r="BU21" s="253">
        <v>298</v>
      </c>
      <c r="BV21" s="253">
        <v>4</v>
      </c>
      <c r="BW21" s="253">
        <v>16</v>
      </c>
      <c r="BX21" s="253">
        <v>0</v>
      </c>
      <c r="BY21" s="253">
        <v>1</v>
      </c>
      <c r="BZ21" s="253">
        <v>287</v>
      </c>
      <c r="CA21" s="253">
        <v>240</v>
      </c>
      <c r="CB21" s="253">
        <v>58</v>
      </c>
      <c r="CC21" s="334"/>
      <c r="CD21" s="338">
        <v>4151042674996603</v>
      </c>
      <c r="CE21" s="339">
        <v>5825354936343.2832</v>
      </c>
      <c r="CF21" s="233"/>
      <c r="CG21" s="233"/>
      <c r="CH21" s="233"/>
      <c r="CI21" s="233"/>
      <c r="CJ21" s="233"/>
      <c r="CK21" s="233"/>
      <c r="CL21" s="233"/>
      <c r="CM21" s="233"/>
      <c r="CN21" s="233"/>
      <c r="CO21" s="233"/>
      <c r="CP21" s="233"/>
      <c r="CQ21" s="233"/>
      <c r="CR21" s="235"/>
      <c r="CS21" s="265" t="s">
        <v>716</v>
      </c>
      <c r="CT21" s="263">
        <v>11</v>
      </c>
      <c r="CU21" s="263" t="s">
        <v>714</v>
      </c>
      <c r="CV21" s="263">
        <v>-3923107682.0700016</v>
      </c>
      <c r="CW21" s="263">
        <v>-4353106893</v>
      </c>
      <c r="CX21" s="263">
        <v>68</v>
      </c>
      <c r="CY21" s="263">
        <v>2965252295.8999996</v>
      </c>
      <c r="CZ21" s="263">
        <v>2800695505</v>
      </c>
      <c r="DA21" s="263">
        <v>27</v>
      </c>
      <c r="DB21" s="263">
        <v>6888359977.9700003</v>
      </c>
      <c r="DC21" s="263">
        <v>7153802398</v>
      </c>
      <c r="DD21" s="263">
        <v>41</v>
      </c>
    </row>
    <row r="22" spans="1:108" x14ac:dyDescent="0.25">
      <c r="B22" s="178"/>
      <c r="C22" s="178"/>
      <c r="D22" s="178"/>
      <c r="E22" s="197"/>
      <c r="F22" s="197"/>
      <c r="G22" s="197"/>
      <c r="H22" s="197"/>
      <c r="J22" s="147" t="str">
        <f t="shared" si="3"/>
        <v>ASell</v>
      </c>
      <c r="K22" s="222" t="s">
        <v>527</v>
      </c>
      <c r="L22" s="222" t="s">
        <v>530</v>
      </c>
      <c r="M22" s="226">
        <v>171122516011.43002</v>
      </c>
      <c r="O22" s="227"/>
      <c r="P22" s="227"/>
      <c r="Q22" s="227"/>
      <c r="S22" s="241"/>
      <c r="T22" s="246"/>
      <c r="U22" s="246"/>
      <c r="V22" s="246"/>
      <c r="W22" s="246"/>
      <c r="X22" s="246"/>
      <c r="Y22" s="233"/>
      <c r="Z22" s="241" t="s">
        <v>654</v>
      </c>
      <c r="AA22" s="241">
        <v>0</v>
      </c>
      <c r="AB22" s="241">
        <v>0</v>
      </c>
      <c r="AC22" s="241">
        <v>0</v>
      </c>
      <c r="AD22" s="241">
        <v>0</v>
      </c>
      <c r="AE22" s="241">
        <v>0</v>
      </c>
      <c r="AF22" s="241"/>
      <c r="AG22" s="241" t="s">
        <v>656</v>
      </c>
      <c r="AH22" s="241">
        <v>0</v>
      </c>
      <c r="AI22" s="241">
        <v>0</v>
      </c>
      <c r="AJ22" s="241">
        <v>0</v>
      </c>
      <c r="AK22" s="241">
        <v>0</v>
      </c>
      <c r="AL22" s="241">
        <v>0</v>
      </c>
      <c r="AM22" s="233"/>
      <c r="AN22" s="241" t="s">
        <v>654</v>
      </c>
      <c r="AO22" s="241">
        <v>0</v>
      </c>
      <c r="AP22" s="241">
        <v>0</v>
      </c>
      <c r="AQ22" s="241">
        <v>0</v>
      </c>
      <c r="AR22" s="241">
        <v>0</v>
      </c>
      <c r="AS22" s="241">
        <v>0</v>
      </c>
      <c r="AT22" s="233"/>
      <c r="AU22" s="241" t="s">
        <v>654</v>
      </c>
      <c r="AV22" s="241">
        <v>0</v>
      </c>
      <c r="AW22" s="241">
        <v>0</v>
      </c>
      <c r="AX22" s="241">
        <v>0</v>
      </c>
      <c r="AY22" s="241">
        <v>0</v>
      </c>
      <c r="AZ22" s="241">
        <v>0</v>
      </c>
      <c r="BA22" s="233"/>
      <c r="BB22" s="241" t="s">
        <v>654</v>
      </c>
      <c r="BC22" s="241">
        <v>0</v>
      </c>
      <c r="BD22" s="241">
        <v>0</v>
      </c>
      <c r="BE22" s="241">
        <v>0</v>
      </c>
      <c r="BF22" s="241">
        <v>0</v>
      </c>
      <c r="BG22" s="241">
        <v>0</v>
      </c>
      <c r="BH22" s="235" t="s">
        <v>654</v>
      </c>
      <c r="BI22" s="241">
        <v>0</v>
      </c>
      <c r="BJ22" s="241">
        <v>0</v>
      </c>
      <c r="BK22" s="241">
        <v>0</v>
      </c>
      <c r="BL22" s="241">
        <v>0</v>
      </c>
      <c r="BM22" s="241">
        <v>0</v>
      </c>
      <c r="BN22" s="241"/>
      <c r="BO22" s="244" t="s">
        <v>450</v>
      </c>
      <c r="BP22" s="252" t="s">
        <v>523</v>
      </c>
      <c r="BQ22" s="252" t="s">
        <v>630</v>
      </c>
      <c r="BR22" s="252" t="s">
        <v>631</v>
      </c>
      <c r="BS22" s="233"/>
      <c r="BT22" s="233" t="s">
        <v>687</v>
      </c>
      <c r="BU22" s="253">
        <v>1</v>
      </c>
      <c r="BV22" s="233">
        <v>0</v>
      </c>
      <c r="BW22" s="233">
        <v>0</v>
      </c>
      <c r="BX22" s="233">
        <v>0</v>
      </c>
      <c r="BY22" s="233">
        <v>0</v>
      </c>
      <c r="BZ22" s="233">
        <v>1</v>
      </c>
      <c r="CA22" s="233">
        <v>1</v>
      </c>
      <c r="CB22" s="233">
        <v>0</v>
      </c>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row>
    <row r="23" spans="1:108" x14ac:dyDescent="0.25">
      <c r="A23" s="157" t="s">
        <v>179</v>
      </c>
      <c r="B23" s="182" t="s">
        <v>199</v>
      </c>
      <c r="C23" s="183" t="s">
        <v>200</v>
      </c>
      <c r="D23" s="182" t="s">
        <v>201</v>
      </c>
      <c r="E23" s="212" t="s">
        <v>618</v>
      </c>
      <c r="F23" s="215" t="s">
        <v>417</v>
      </c>
      <c r="G23" s="212" t="s">
        <v>199</v>
      </c>
      <c r="H23" s="212" t="s">
        <v>531</v>
      </c>
      <c r="I23" s="159"/>
      <c r="J23" s="147" t="str">
        <f>K23&amp;L23</f>
        <v>PSell</v>
      </c>
      <c r="K23" s="222" t="s">
        <v>529</v>
      </c>
      <c r="L23" s="222" t="s">
        <v>530</v>
      </c>
      <c r="M23" s="226">
        <v>214938449316.54001</v>
      </c>
      <c r="N23" s="157" t="s">
        <v>418</v>
      </c>
      <c r="O23" s="230" t="s">
        <v>199</v>
      </c>
      <c r="P23" s="230" t="s">
        <v>531</v>
      </c>
      <c r="Q23" s="227"/>
      <c r="S23" s="241"/>
      <c r="T23" s="246"/>
      <c r="U23" s="246"/>
      <c r="V23" s="246"/>
      <c r="W23" s="246"/>
      <c r="X23" s="246"/>
      <c r="Y23" s="233"/>
      <c r="Z23" s="241" t="s">
        <v>655</v>
      </c>
      <c r="AA23" s="241">
        <v>0</v>
      </c>
      <c r="AB23" s="241">
        <v>0</v>
      </c>
      <c r="AC23" s="241">
        <v>0</v>
      </c>
      <c r="AD23" s="241">
        <v>0</v>
      </c>
      <c r="AE23" s="241">
        <v>0</v>
      </c>
      <c r="AF23" s="241"/>
      <c r="AG23" s="241" t="s">
        <v>657</v>
      </c>
      <c r="AH23" s="241">
        <v>0</v>
      </c>
      <c r="AI23" s="241">
        <v>0</v>
      </c>
      <c r="AJ23" s="241">
        <v>0</v>
      </c>
      <c r="AK23" s="241">
        <v>0</v>
      </c>
      <c r="AL23" s="241">
        <v>0</v>
      </c>
      <c r="AM23" s="233"/>
      <c r="AN23" s="241" t="s">
        <v>655</v>
      </c>
      <c r="AO23" s="241">
        <v>0</v>
      </c>
      <c r="AP23" s="241">
        <v>0</v>
      </c>
      <c r="AQ23" s="241">
        <v>0</v>
      </c>
      <c r="AR23" s="241">
        <v>0</v>
      </c>
      <c r="AS23" s="241">
        <v>0</v>
      </c>
      <c r="AT23" s="233"/>
      <c r="AU23" s="241" t="s">
        <v>655</v>
      </c>
      <c r="AV23" s="241">
        <v>0</v>
      </c>
      <c r="AW23" s="241">
        <v>0</v>
      </c>
      <c r="AX23" s="241">
        <v>0</v>
      </c>
      <c r="AY23" s="241">
        <v>0</v>
      </c>
      <c r="AZ23" s="241">
        <v>0</v>
      </c>
      <c r="BA23" s="233"/>
      <c r="BB23" s="241" t="s">
        <v>655</v>
      </c>
      <c r="BC23" s="241">
        <v>0</v>
      </c>
      <c r="BD23" s="241">
        <v>0</v>
      </c>
      <c r="BE23" s="241">
        <v>0</v>
      </c>
      <c r="BF23" s="241">
        <v>0</v>
      </c>
      <c r="BG23" s="241">
        <v>0</v>
      </c>
      <c r="BH23" s="235" t="s">
        <v>655</v>
      </c>
      <c r="BI23" s="241">
        <v>0</v>
      </c>
      <c r="BJ23" s="241">
        <v>0</v>
      </c>
      <c r="BK23" s="241">
        <v>0</v>
      </c>
      <c r="BL23" s="241">
        <v>0</v>
      </c>
      <c r="BM23" s="241">
        <v>0</v>
      </c>
      <c r="BN23" s="241"/>
      <c r="BO23" s="235"/>
      <c r="BP23" s="251">
        <v>116043067</v>
      </c>
      <c r="BQ23" s="251">
        <v>88761</v>
      </c>
      <c r="BR23" s="251">
        <v>145</v>
      </c>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row>
    <row r="24" spans="1:108" x14ac:dyDescent="0.25">
      <c r="B24" s="181" t="s">
        <v>205</v>
      </c>
      <c r="C24" s="184">
        <v>38628</v>
      </c>
      <c r="D24" s="181">
        <v>10207.67</v>
      </c>
      <c r="E24" s="211">
        <v>1</v>
      </c>
      <c r="F24" s="197"/>
      <c r="G24" s="211" t="s">
        <v>244</v>
      </c>
      <c r="H24" s="211">
        <v>16953.192128350001</v>
      </c>
      <c r="I24" s="158"/>
      <c r="K24" s="219"/>
      <c r="L24" s="216"/>
      <c r="M24" s="216"/>
      <c r="O24" s="229" t="s">
        <v>244</v>
      </c>
      <c r="P24" s="229">
        <v>16711.283344529998</v>
      </c>
      <c r="Q24" s="227"/>
      <c r="S24" s="241"/>
      <c r="T24" s="246"/>
      <c r="U24" s="246"/>
      <c r="V24" s="246"/>
      <c r="W24" s="246"/>
      <c r="X24" s="246"/>
      <c r="Y24" s="233"/>
      <c r="Z24" s="241" t="s">
        <v>656</v>
      </c>
      <c r="AA24" s="241">
        <v>0</v>
      </c>
      <c r="AB24" s="241">
        <v>0</v>
      </c>
      <c r="AC24" s="241">
        <v>0</v>
      </c>
      <c r="AD24" s="241">
        <v>0</v>
      </c>
      <c r="AE24" s="241">
        <v>0</v>
      </c>
      <c r="AF24" s="241"/>
      <c r="AG24" s="241" t="s">
        <v>658</v>
      </c>
      <c r="AH24" s="241">
        <v>0</v>
      </c>
      <c r="AI24" s="241">
        <v>0</v>
      </c>
      <c r="AJ24" s="241">
        <v>0</v>
      </c>
      <c r="AK24" s="241">
        <v>0</v>
      </c>
      <c r="AL24" s="241">
        <v>0</v>
      </c>
      <c r="AM24" s="233"/>
      <c r="AN24" s="241" t="s">
        <v>656</v>
      </c>
      <c r="AO24" s="241">
        <v>0</v>
      </c>
      <c r="AP24" s="241">
        <v>0</v>
      </c>
      <c r="AQ24" s="241">
        <v>0</v>
      </c>
      <c r="AR24" s="241">
        <v>0</v>
      </c>
      <c r="AS24" s="241">
        <v>0</v>
      </c>
      <c r="AT24" s="233"/>
      <c r="AU24" s="241" t="s">
        <v>656</v>
      </c>
      <c r="AV24" s="241">
        <v>0</v>
      </c>
      <c r="AW24" s="241">
        <v>0</v>
      </c>
      <c r="AX24" s="241">
        <v>0</v>
      </c>
      <c r="AY24" s="241">
        <v>0</v>
      </c>
      <c r="AZ24" s="241">
        <v>0</v>
      </c>
      <c r="BA24" s="233"/>
      <c r="BB24" s="241" t="s">
        <v>656</v>
      </c>
      <c r="BC24" s="241">
        <v>0</v>
      </c>
      <c r="BD24" s="241">
        <v>0</v>
      </c>
      <c r="BE24" s="241">
        <v>0</v>
      </c>
      <c r="BF24" s="241">
        <v>0</v>
      </c>
      <c r="BG24" s="241">
        <v>0</v>
      </c>
      <c r="BH24" s="235" t="s">
        <v>656</v>
      </c>
      <c r="BI24" s="241">
        <v>0</v>
      </c>
      <c r="BJ24" s="241">
        <v>0</v>
      </c>
      <c r="BK24" s="241">
        <v>0</v>
      </c>
      <c r="BL24" s="241">
        <v>0</v>
      </c>
      <c r="BM24" s="241">
        <v>0</v>
      </c>
      <c r="BN24" s="241"/>
      <c r="BO24" s="235"/>
      <c r="BP24" s="251"/>
      <c r="BQ24" s="251"/>
      <c r="BR24" s="251"/>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row>
    <row r="25" spans="1:108" x14ac:dyDescent="0.25">
      <c r="B25" s="181" t="s">
        <v>207</v>
      </c>
      <c r="C25" s="184">
        <v>38716</v>
      </c>
      <c r="D25" s="181">
        <v>10070.700000000001</v>
      </c>
      <c r="E25" s="211">
        <v>1</v>
      </c>
      <c r="F25" s="197"/>
      <c r="G25" s="211" t="s">
        <v>245</v>
      </c>
      <c r="H25" s="211">
        <v>12483.995419110001</v>
      </c>
      <c r="I25" s="158"/>
      <c r="K25" s="219"/>
      <c r="L25" s="216"/>
      <c r="M25" s="216"/>
      <c r="O25" s="229" t="s">
        <v>245</v>
      </c>
      <c r="P25" s="229">
        <v>12349.145716839999</v>
      </c>
      <c r="Q25" s="227"/>
      <c r="S25" s="241"/>
      <c r="T25" s="246"/>
      <c r="U25" s="246"/>
      <c r="V25" s="246"/>
      <c r="W25" s="246"/>
      <c r="X25" s="246"/>
      <c r="Y25" s="233"/>
      <c r="Z25" s="241" t="s">
        <v>657</v>
      </c>
      <c r="AA25" s="241">
        <v>0</v>
      </c>
      <c r="AB25" s="241">
        <v>0</v>
      </c>
      <c r="AC25" s="241">
        <v>0</v>
      </c>
      <c r="AD25" s="241">
        <v>0</v>
      </c>
      <c r="AE25" s="241">
        <v>0</v>
      </c>
      <c r="AF25" s="241"/>
      <c r="AG25" s="241" t="s">
        <v>659</v>
      </c>
      <c r="AH25" s="241">
        <v>0</v>
      </c>
      <c r="AI25" s="241">
        <v>0</v>
      </c>
      <c r="AJ25" s="241">
        <v>0</v>
      </c>
      <c r="AK25" s="241">
        <v>0</v>
      </c>
      <c r="AL25" s="241">
        <v>0</v>
      </c>
      <c r="AM25" s="233"/>
      <c r="AN25" s="241" t="s">
        <v>657</v>
      </c>
      <c r="AO25" s="241">
        <v>0</v>
      </c>
      <c r="AP25" s="241">
        <v>0</v>
      </c>
      <c r="AQ25" s="241">
        <v>0</v>
      </c>
      <c r="AR25" s="241">
        <v>0</v>
      </c>
      <c r="AS25" s="241">
        <v>0</v>
      </c>
      <c r="AT25" s="233"/>
      <c r="AU25" s="241" t="s">
        <v>657</v>
      </c>
      <c r="AV25" s="241">
        <v>0</v>
      </c>
      <c r="AW25" s="241">
        <v>0</v>
      </c>
      <c r="AX25" s="241">
        <v>0</v>
      </c>
      <c r="AY25" s="241">
        <v>0</v>
      </c>
      <c r="AZ25" s="241">
        <v>0</v>
      </c>
      <c r="BA25" s="233"/>
      <c r="BB25" s="241" t="s">
        <v>657</v>
      </c>
      <c r="BC25" s="241">
        <v>0</v>
      </c>
      <c r="BD25" s="241">
        <v>0</v>
      </c>
      <c r="BE25" s="241">
        <v>0</v>
      </c>
      <c r="BF25" s="241">
        <v>0</v>
      </c>
      <c r="BG25" s="241">
        <v>0</v>
      </c>
      <c r="BH25" s="235" t="s">
        <v>657</v>
      </c>
      <c r="BI25" s="241">
        <v>0</v>
      </c>
      <c r="BJ25" s="241">
        <v>0</v>
      </c>
      <c r="BK25" s="241">
        <v>0</v>
      </c>
      <c r="BL25" s="241">
        <v>0</v>
      </c>
      <c r="BM25" s="241">
        <v>0</v>
      </c>
      <c r="BN25" s="241"/>
      <c r="BO25" s="244" t="s">
        <v>453</v>
      </c>
      <c r="BP25" s="252" t="s">
        <v>632</v>
      </c>
      <c r="BQ25" s="251"/>
      <c r="BR25" s="251"/>
      <c r="BS25" s="233"/>
      <c r="BT25" s="233"/>
      <c r="BU25" s="251"/>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row>
    <row r="26" spans="1:108" x14ac:dyDescent="0.25">
      <c r="B26" s="181" t="s">
        <v>210</v>
      </c>
      <c r="C26" s="184">
        <v>38425</v>
      </c>
      <c r="D26" s="181">
        <v>14581.36</v>
      </c>
      <c r="E26" s="211">
        <v>1</v>
      </c>
      <c r="F26" s="197"/>
      <c r="G26" s="211" t="s">
        <v>247</v>
      </c>
      <c r="H26" s="211">
        <v>4006.9909008599998</v>
      </c>
      <c r="I26" s="158"/>
      <c r="J26" s="152"/>
      <c r="K26" s="220"/>
      <c r="L26" s="216"/>
      <c r="M26" s="216"/>
      <c r="O26" s="229" t="s">
        <v>247</v>
      </c>
      <c r="P26" s="229">
        <v>3810.7853485800001</v>
      </c>
      <c r="Q26" s="227"/>
      <c r="S26" s="241"/>
      <c r="T26" s="246"/>
      <c r="U26" s="246"/>
      <c r="V26" s="246"/>
      <c r="W26" s="246"/>
      <c r="X26" s="246"/>
      <c r="Y26" s="233"/>
      <c r="Z26" s="241" t="s">
        <v>658</v>
      </c>
      <c r="AA26" s="241">
        <v>0</v>
      </c>
      <c r="AB26" s="241">
        <v>0</v>
      </c>
      <c r="AC26" s="241">
        <v>0</v>
      </c>
      <c r="AD26" s="241">
        <v>133</v>
      </c>
      <c r="AE26" s="241">
        <v>0</v>
      </c>
      <c r="AF26" s="241"/>
      <c r="AG26" s="241" t="s">
        <v>660</v>
      </c>
      <c r="AH26" s="241">
        <v>0</v>
      </c>
      <c r="AI26" s="241">
        <v>0</v>
      </c>
      <c r="AJ26" s="241">
        <v>0</v>
      </c>
      <c r="AK26" s="241">
        <v>0</v>
      </c>
      <c r="AL26" s="241">
        <v>0</v>
      </c>
      <c r="AM26" s="233"/>
      <c r="AN26" s="241" t="s">
        <v>658</v>
      </c>
      <c r="AO26" s="241">
        <v>121800</v>
      </c>
      <c r="AP26" s="241">
        <v>14</v>
      </c>
      <c r="AQ26" s="241">
        <v>1</v>
      </c>
      <c r="AR26" s="241">
        <v>231</v>
      </c>
      <c r="AS26" s="241">
        <v>0</v>
      </c>
      <c r="AT26" s="233"/>
      <c r="AU26" s="241" t="s">
        <v>658</v>
      </c>
      <c r="AV26" s="241">
        <v>0</v>
      </c>
      <c r="AW26" s="241">
        <v>0</v>
      </c>
      <c r="AX26" s="241">
        <v>0</v>
      </c>
      <c r="AY26" s="241">
        <v>7</v>
      </c>
      <c r="AZ26" s="241">
        <v>0</v>
      </c>
      <c r="BA26" s="233"/>
      <c r="BB26" s="241" t="s">
        <v>674</v>
      </c>
      <c r="BC26" s="241">
        <v>0</v>
      </c>
      <c r="BD26" s="241">
        <v>0</v>
      </c>
      <c r="BE26" s="241">
        <v>0</v>
      </c>
      <c r="BF26" s="241">
        <v>0</v>
      </c>
      <c r="BG26" s="241">
        <v>0</v>
      </c>
      <c r="BH26" s="235" t="s">
        <v>660</v>
      </c>
      <c r="BI26" s="241">
        <v>0</v>
      </c>
      <c r="BJ26" s="241">
        <v>0</v>
      </c>
      <c r="BK26" s="241">
        <v>0</v>
      </c>
      <c r="BL26" s="241">
        <v>0</v>
      </c>
      <c r="BM26" s="241">
        <v>0</v>
      </c>
      <c r="BN26" s="241"/>
      <c r="BO26" s="235"/>
      <c r="BP26" s="251">
        <v>1038517</v>
      </c>
      <c r="BQ26" s="251"/>
      <c r="BR26" s="251"/>
      <c r="BS26" s="233"/>
      <c r="BT26" s="233"/>
      <c r="BU26" s="233"/>
      <c r="BV26" s="233"/>
      <c r="BW26" s="233"/>
      <c r="BX26" s="233"/>
      <c r="BY26" s="233"/>
      <c r="BZ26" s="233"/>
      <c r="CA26" s="233"/>
      <c r="CB26" s="233"/>
      <c r="CC26" s="233"/>
      <c r="CD26" s="233"/>
      <c r="CE26" s="233"/>
      <c r="CF26" s="233"/>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row>
    <row r="27" spans="1:108" x14ac:dyDescent="0.25">
      <c r="B27" s="181" t="s">
        <v>213</v>
      </c>
      <c r="C27" s="184">
        <v>38680</v>
      </c>
      <c r="D27" s="181">
        <v>18105.080000000002</v>
      </c>
      <c r="E27" s="211">
        <v>1</v>
      </c>
      <c r="F27" s="197"/>
      <c r="G27" s="211" t="s">
        <v>248</v>
      </c>
      <c r="H27" s="211">
        <v>3975.09248398</v>
      </c>
      <c r="I27" s="158"/>
      <c r="J27" s="152"/>
      <c r="K27" s="219"/>
      <c r="L27" s="216"/>
      <c r="M27" s="216"/>
      <c r="O27" s="229" t="s">
        <v>248</v>
      </c>
      <c r="P27" s="229">
        <v>3803.9018397599998</v>
      </c>
      <c r="Q27" s="227"/>
      <c r="S27" s="241"/>
      <c r="T27" s="246"/>
      <c r="U27" s="246"/>
      <c r="V27" s="246"/>
      <c r="W27" s="246"/>
      <c r="X27" s="246"/>
      <c r="Y27" s="233"/>
      <c r="Z27" s="241" t="s">
        <v>659</v>
      </c>
      <c r="AA27" s="241">
        <v>0</v>
      </c>
      <c r="AB27" s="241">
        <v>0</v>
      </c>
      <c r="AC27" s="241">
        <v>0</v>
      </c>
      <c r="AD27" s="241">
        <v>76</v>
      </c>
      <c r="AE27" s="241">
        <v>0</v>
      </c>
      <c r="AF27" s="241"/>
      <c r="AG27" s="241" t="s">
        <v>661</v>
      </c>
      <c r="AH27" s="241">
        <v>0</v>
      </c>
      <c r="AI27" s="241">
        <v>0</v>
      </c>
      <c r="AJ27" s="241">
        <v>0</v>
      </c>
      <c r="AK27" s="241">
        <v>0</v>
      </c>
      <c r="AL27" s="241">
        <v>0</v>
      </c>
      <c r="AM27" s="233"/>
      <c r="AN27" s="241" t="s">
        <v>659</v>
      </c>
      <c r="AO27" s="241">
        <v>0</v>
      </c>
      <c r="AP27" s="241">
        <v>0</v>
      </c>
      <c r="AQ27" s="241">
        <v>0</v>
      </c>
      <c r="AR27" s="241">
        <v>84</v>
      </c>
      <c r="AS27" s="241">
        <v>0</v>
      </c>
      <c r="AT27" s="233"/>
      <c r="AU27" s="241" t="s">
        <v>659</v>
      </c>
      <c r="AV27" s="241">
        <v>0</v>
      </c>
      <c r="AW27" s="241">
        <v>0</v>
      </c>
      <c r="AX27" s="241">
        <v>0</v>
      </c>
      <c r="AY27" s="241">
        <v>4</v>
      </c>
      <c r="AZ27" s="241">
        <v>0</v>
      </c>
      <c r="BA27" s="233"/>
      <c r="BB27" s="241" t="s">
        <v>675</v>
      </c>
      <c r="BC27" s="241">
        <v>0</v>
      </c>
      <c r="BD27" s="241">
        <v>0</v>
      </c>
      <c r="BE27" s="241">
        <v>0</v>
      </c>
      <c r="BF27" s="241">
        <v>0</v>
      </c>
      <c r="BG27" s="241">
        <v>0</v>
      </c>
      <c r="BH27" s="235" t="s">
        <v>661</v>
      </c>
      <c r="BI27" s="241">
        <v>0</v>
      </c>
      <c r="BJ27" s="241">
        <v>0</v>
      </c>
      <c r="BK27" s="241">
        <v>0</v>
      </c>
      <c r="BL27" s="241">
        <v>0</v>
      </c>
      <c r="BM27" s="241">
        <v>0</v>
      </c>
      <c r="BN27" s="241"/>
      <c r="BO27" s="235"/>
      <c r="BP27" s="251"/>
      <c r="BQ27" s="251"/>
      <c r="BR27" s="251"/>
      <c r="BS27" s="233"/>
      <c r="BT27" s="233"/>
      <c r="BU27" s="233"/>
      <c r="BV27" s="233"/>
      <c r="BW27" s="233"/>
      <c r="BX27" s="233"/>
      <c r="BY27" s="233"/>
      <c r="BZ27" s="233"/>
      <c r="CA27" s="233"/>
      <c r="CB27" s="233"/>
      <c r="CC27" s="233"/>
      <c r="CD27" s="233"/>
      <c r="CE27" s="233"/>
      <c r="CF27" s="233"/>
      <c r="CG27" s="233"/>
      <c r="CH27" s="233"/>
      <c r="CI27" s="233"/>
      <c r="CJ27" s="233"/>
      <c r="CK27" s="233"/>
      <c r="CL27" s="233"/>
      <c r="CM27" s="233"/>
      <c r="CN27" s="233"/>
      <c r="CO27" s="233"/>
      <c r="CP27" s="233"/>
      <c r="CQ27" s="233"/>
      <c r="CR27" s="255" t="s">
        <v>487</v>
      </c>
      <c r="CS27" s="264" t="s">
        <v>695</v>
      </c>
      <c r="CT27" s="263" t="s">
        <v>696</v>
      </c>
      <c r="CU27" s="263" t="s">
        <v>697</v>
      </c>
      <c r="CV27" s="263" t="s">
        <v>698</v>
      </c>
      <c r="CW27" s="263" t="s">
        <v>699</v>
      </c>
      <c r="CX27" s="263" t="s">
        <v>700</v>
      </c>
      <c r="CY27" s="263" t="s">
        <v>701</v>
      </c>
      <c r="CZ27" s="263" t="s">
        <v>702</v>
      </c>
      <c r="DA27" s="263" t="s">
        <v>703</v>
      </c>
      <c r="DB27" s="263" t="s">
        <v>704</v>
      </c>
      <c r="DC27" s="263" t="s">
        <v>705</v>
      </c>
      <c r="DD27" s="263" t="s">
        <v>706</v>
      </c>
    </row>
    <row r="28" spans="1:108" ht="14.4" x14ac:dyDescent="0.3">
      <c r="B28" s="181" t="s">
        <v>222</v>
      </c>
      <c r="C28" s="184">
        <v>38615</v>
      </c>
      <c r="D28" s="181">
        <v>4728.4799999999996</v>
      </c>
      <c r="E28" s="211">
        <v>1</v>
      </c>
      <c r="F28" s="197"/>
      <c r="G28" s="211" t="s">
        <v>88</v>
      </c>
      <c r="H28" s="211">
        <v>4596.4388715499999</v>
      </c>
      <c r="I28" s="158"/>
      <c r="J28" s="152"/>
      <c r="K28" s="219"/>
      <c r="L28" s="221"/>
      <c r="M28" s="224"/>
      <c r="O28" s="229" t="s">
        <v>88</v>
      </c>
      <c r="P28" s="229">
        <v>4409.7475513600002</v>
      </c>
      <c r="Q28" s="227"/>
      <c r="S28" s="233"/>
      <c r="T28" s="233"/>
      <c r="U28" s="233"/>
      <c r="V28" s="233"/>
      <c r="W28" s="233"/>
      <c r="X28" s="233"/>
      <c r="Y28" s="233"/>
      <c r="Z28" s="241" t="s">
        <v>660</v>
      </c>
      <c r="AA28" s="241">
        <v>0</v>
      </c>
      <c r="AB28" s="241">
        <v>0</v>
      </c>
      <c r="AC28" s="241">
        <v>0</v>
      </c>
      <c r="AD28" s="241">
        <v>0</v>
      </c>
      <c r="AE28" s="241">
        <v>0</v>
      </c>
      <c r="AF28" s="241"/>
      <c r="AG28" s="241" t="s">
        <v>662</v>
      </c>
      <c r="AH28" s="241">
        <v>0</v>
      </c>
      <c r="AI28" s="241">
        <v>0</v>
      </c>
      <c r="AJ28" s="241">
        <v>0</v>
      </c>
      <c r="AK28" s="241">
        <v>0</v>
      </c>
      <c r="AL28" s="241">
        <v>0</v>
      </c>
      <c r="AM28" s="233"/>
      <c r="AN28" s="241" t="s">
        <v>660</v>
      </c>
      <c r="AO28" s="241">
        <v>0</v>
      </c>
      <c r="AP28" s="241">
        <v>0</v>
      </c>
      <c r="AQ28" s="241">
        <v>0</v>
      </c>
      <c r="AR28" s="241">
        <v>0</v>
      </c>
      <c r="AS28" s="241">
        <v>0</v>
      </c>
      <c r="AT28" s="233"/>
      <c r="AU28" s="241" t="s">
        <v>660</v>
      </c>
      <c r="AV28" s="241">
        <v>0</v>
      </c>
      <c r="AW28" s="241">
        <v>0</v>
      </c>
      <c r="AX28" s="241">
        <v>0</v>
      </c>
      <c r="AY28" s="241">
        <v>0</v>
      </c>
      <c r="AZ28" s="241">
        <v>0</v>
      </c>
      <c r="BA28" s="233"/>
      <c r="BB28" s="241" t="s">
        <v>660</v>
      </c>
      <c r="BC28" s="241">
        <v>0</v>
      </c>
      <c r="BD28" s="241">
        <v>0</v>
      </c>
      <c r="BE28" s="241">
        <v>0</v>
      </c>
      <c r="BF28" s="241">
        <v>0</v>
      </c>
      <c r="BG28" s="241">
        <v>0</v>
      </c>
      <c r="BH28" s="235" t="s">
        <v>662</v>
      </c>
      <c r="BI28" s="241">
        <v>0</v>
      </c>
      <c r="BJ28" s="241">
        <v>0</v>
      </c>
      <c r="BK28" s="241">
        <v>0</v>
      </c>
      <c r="BL28" s="241">
        <v>0</v>
      </c>
      <c r="BM28" s="241">
        <v>0</v>
      </c>
      <c r="BN28" s="241"/>
      <c r="BO28" s="244" t="s">
        <v>454</v>
      </c>
      <c r="BP28" s="252" t="s">
        <v>632</v>
      </c>
      <c r="BQ28" s="251"/>
      <c r="BR28" s="251"/>
      <c r="BS28" s="233"/>
      <c r="BT28" s="233"/>
      <c r="BU28" s="233"/>
      <c r="BV28" s="233"/>
      <c r="BW28" s="233"/>
      <c r="BX28" s="233"/>
      <c r="BY28" s="233"/>
      <c r="BZ28" s="233"/>
      <c r="CA28" s="233"/>
      <c r="CB28" s="233"/>
      <c r="CC28" s="233"/>
      <c r="CD28" s="233"/>
      <c r="CE28" s="233"/>
      <c r="CF28" s="233"/>
      <c r="CG28" s="233"/>
      <c r="CH28" s="233"/>
      <c r="CI28" s="233"/>
      <c r="CJ28" s="233"/>
      <c r="CK28" s="233"/>
      <c r="CL28" s="233"/>
      <c r="CM28" s="233"/>
      <c r="CN28" s="233"/>
      <c r="CO28" s="233"/>
      <c r="CP28" s="233"/>
      <c r="CQ28" s="233"/>
      <c r="CR28" s="235"/>
      <c r="CS28" s="265">
        <v>2020</v>
      </c>
      <c r="CT28" s="263">
        <v>42</v>
      </c>
      <c r="CU28" s="263" t="s">
        <v>707</v>
      </c>
      <c r="CV28" s="263">
        <v>0</v>
      </c>
      <c r="CW28" s="263">
        <v>3424892467</v>
      </c>
      <c r="CX28" s="263">
        <v>4380</v>
      </c>
      <c r="CY28" s="263">
        <v>0</v>
      </c>
      <c r="CZ28" s="263">
        <v>221624159642</v>
      </c>
      <c r="DA28" s="263">
        <v>2292</v>
      </c>
      <c r="DB28" s="263">
        <v>0</v>
      </c>
      <c r="DC28" s="263">
        <v>218199267175</v>
      </c>
      <c r="DD28" s="263">
        <v>2088</v>
      </c>
    </row>
    <row r="29" spans="1:108" x14ac:dyDescent="0.25">
      <c r="B29" s="181" t="s">
        <v>227</v>
      </c>
      <c r="C29" s="184">
        <v>44221</v>
      </c>
      <c r="D29" s="181">
        <v>143155.42628878</v>
      </c>
      <c r="E29" s="211">
        <v>1</v>
      </c>
      <c r="F29" s="197"/>
      <c r="G29" s="211" t="s">
        <v>55</v>
      </c>
      <c r="H29" s="211">
        <v>64063.817360809997</v>
      </c>
      <c r="I29" s="158"/>
      <c r="J29" s="152"/>
      <c r="K29" s="219"/>
      <c r="L29" s="216"/>
      <c r="M29" s="216"/>
      <c r="O29" s="229" t="s">
        <v>55</v>
      </c>
      <c r="P29" s="229">
        <v>60807.874549289998</v>
      </c>
      <c r="Q29" s="227"/>
      <c r="S29" s="233"/>
      <c r="T29" s="233"/>
      <c r="U29" s="233"/>
      <c r="V29" s="233"/>
      <c r="W29" s="233"/>
      <c r="X29" s="233"/>
      <c r="Y29" s="233"/>
      <c r="Z29" s="241" t="s">
        <v>661</v>
      </c>
      <c r="AA29" s="241">
        <v>0</v>
      </c>
      <c r="AB29" s="241">
        <v>0</v>
      </c>
      <c r="AC29" s="241">
        <v>0</v>
      </c>
      <c r="AD29" s="241">
        <v>0</v>
      </c>
      <c r="AE29" s="241">
        <v>0</v>
      </c>
      <c r="AF29" s="241"/>
      <c r="AG29" s="241" t="s">
        <v>663</v>
      </c>
      <c r="AH29" s="241">
        <v>292273</v>
      </c>
      <c r="AI29" s="241">
        <v>21</v>
      </c>
      <c r="AJ29" s="241">
        <v>6</v>
      </c>
      <c r="AK29" s="241">
        <v>491</v>
      </c>
      <c r="AL29" s="241">
        <v>0</v>
      </c>
      <c r="AM29" s="233"/>
      <c r="AN29" s="241" t="s">
        <v>661</v>
      </c>
      <c r="AO29" s="241">
        <v>0</v>
      </c>
      <c r="AP29" s="241">
        <v>0</v>
      </c>
      <c r="AQ29" s="241">
        <v>0</v>
      </c>
      <c r="AR29" s="241">
        <v>0</v>
      </c>
      <c r="AS29" s="241">
        <v>0</v>
      </c>
      <c r="AT29" s="233"/>
      <c r="AU29" s="241" t="s">
        <v>661</v>
      </c>
      <c r="AV29" s="241">
        <v>0</v>
      </c>
      <c r="AW29" s="241">
        <v>0</v>
      </c>
      <c r="AX29" s="241">
        <v>0</v>
      </c>
      <c r="AY29" s="241">
        <v>0</v>
      </c>
      <c r="AZ29" s="241">
        <v>0</v>
      </c>
      <c r="BA29" s="233"/>
      <c r="BB29" s="241" t="s">
        <v>661</v>
      </c>
      <c r="BC29" s="241">
        <v>0</v>
      </c>
      <c r="BD29" s="241">
        <v>0</v>
      </c>
      <c r="BE29" s="241">
        <v>0</v>
      </c>
      <c r="BF29" s="241">
        <v>0</v>
      </c>
      <c r="BG29" s="241">
        <v>0</v>
      </c>
      <c r="BH29" s="235" t="s">
        <v>663</v>
      </c>
      <c r="BI29" s="241">
        <v>363700</v>
      </c>
      <c r="BJ29" s="241">
        <v>105</v>
      </c>
      <c r="BK29" s="241">
        <v>4</v>
      </c>
      <c r="BL29" s="241">
        <v>4008</v>
      </c>
      <c r="BM29" s="241">
        <v>0</v>
      </c>
      <c r="BN29" s="241"/>
      <c r="BO29" s="235"/>
      <c r="BP29" s="251">
        <v>124484</v>
      </c>
      <c r="BQ29" s="251"/>
      <c r="BR29" s="251"/>
      <c r="BS29" s="233"/>
      <c r="BT29" s="233"/>
      <c r="BU29" s="233"/>
      <c r="BV29" s="233"/>
      <c r="BW29" s="233"/>
      <c r="BX29" s="233"/>
      <c r="BY29" s="233"/>
      <c r="BZ29" s="233"/>
      <c r="CA29" s="233"/>
      <c r="CB29" s="233"/>
      <c r="CC29" s="233"/>
      <c r="CD29" s="233"/>
      <c r="CE29" s="233"/>
      <c r="CF29" s="233"/>
      <c r="CG29" s="233"/>
      <c r="CH29" s="233"/>
      <c r="CI29" s="233"/>
      <c r="CJ29" s="233"/>
      <c r="CK29" s="233"/>
      <c r="CL29" s="233"/>
      <c r="CM29" s="233"/>
      <c r="CN29" s="233"/>
      <c r="CO29" s="233"/>
      <c r="CP29" s="233"/>
      <c r="CQ29" s="233"/>
      <c r="CR29" s="235"/>
      <c r="CS29" s="265">
        <v>2020</v>
      </c>
      <c r="CT29" s="263">
        <v>2</v>
      </c>
      <c r="CU29" s="263" t="s">
        <v>708</v>
      </c>
      <c r="CV29" s="263">
        <v>39229714.900000006</v>
      </c>
      <c r="CW29" s="263">
        <v>-11000000</v>
      </c>
      <c r="CX29" s="263">
        <v>3</v>
      </c>
      <c r="CY29" s="263">
        <v>207493479.90000001</v>
      </c>
      <c r="CZ29" s="263">
        <v>189000000</v>
      </c>
      <c r="DA29" s="263">
        <v>1</v>
      </c>
      <c r="DB29" s="263">
        <v>168263765</v>
      </c>
      <c r="DC29" s="263">
        <v>200000000</v>
      </c>
      <c r="DD29" s="263">
        <v>2</v>
      </c>
    </row>
    <row r="30" spans="1:108" x14ac:dyDescent="0.25">
      <c r="B30" s="181" t="s">
        <v>231</v>
      </c>
      <c r="C30" s="184">
        <v>38716</v>
      </c>
      <c r="D30" s="181">
        <v>14859.1</v>
      </c>
      <c r="E30" s="211">
        <v>1</v>
      </c>
      <c r="F30" s="197"/>
      <c r="G30" s="211" t="s">
        <v>44</v>
      </c>
      <c r="H30" s="211">
        <v>76876.787215389995</v>
      </c>
      <c r="I30" s="158"/>
      <c r="J30" s="152"/>
      <c r="K30" s="219"/>
      <c r="L30" s="216"/>
      <c r="M30" s="216"/>
      <c r="O30" s="229" t="s">
        <v>44</v>
      </c>
      <c r="P30" s="229">
        <v>78129.861085779994</v>
      </c>
      <c r="Q30" s="227"/>
      <c r="S30" s="242"/>
      <c r="T30" s="245"/>
      <c r="U30" s="245"/>
      <c r="V30" s="245"/>
      <c r="W30" s="245"/>
      <c r="X30" s="245"/>
      <c r="Y30" s="233"/>
      <c r="Z30" s="241" t="s">
        <v>662</v>
      </c>
      <c r="AA30" s="241">
        <v>0</v>
      </c>
      <c r="AB30" s="241">
        <v>0</v>
      </c>
      <c r="AC30" s="241">
        <v>0</v>
      </c>
      <c r="AD30" s="241">
        <v>0</v>
      </c>
      <c r="AE30" s="241">
        <v>0</v>
      </c>
      <c r="AF30" s="241"/>
      <c r="AG30" s="241" t="s">
        <v>664</v>
      </c>
      <c r="AH30" s="241">
        <v>0</v>
      </c>
      <c r="AI30" s="241">
        <v>0</v>
      </c>
      <c r="AJ30" s="241">
        <v>0</v>
      </c>
      <c r="AK30" s="241">
        <v>0</v>
      </c>
      <c r="AL30" s="241">
        <v>0</v>
      </c>
      <c r="AM30" s="233"/>
      <c r="AN30" s="241" t="s">
        <v>662</v>
      </c>
      <c r="AO30" s="241">
        <v>0</v>
      </c>
      <c r="AP30" s="241">
        <v>0</v>
      </c>
      <c r="AQ30" s="241">
        <v>0</v>
      </c>
      <c r="AR30" s="241">
        <v>0</v>
      </c>
      <c r="AS30" s="241">
        <v>0</v>
      </c>
      <c r="AT30" s="233"/>
      <c r="AU30" s="241" t="s">
        <v>662</v>
      </c>
      <c r="AV30" s="241">
        <v>0</v>
      </c>
      <c r="AW30" s="241">
        <v>0</v>
      </c>
      <c r="AX30" s="241">
        <v>0</v>
      </c>
      <c r="AY30" s="241">
        <v>0</v>
      </c>
      <c r="AZ30" s="241">
        <v>0</v>
      </c>
      <c r="BA30" s="233"/>
      <c r="BB30" s="241" t="s">
        <v>662</v>
      </c>
      <c r="BC30" s="241">
        <v>0</v>
      </c>
      <c r="BD30" s="241">
        <v>0</v>
      </c>
      <c r="BE30" s="241">
        <v>0</v>
      </c>
      <c r="BF30" s="241">
        <v>0</v>
      </c>
      <c r="BG30" s="241">
        <v>0</v>
      </c>
      <c r="BH30" s="235" t="s">
        <v>664</v>
      </c>
      <c r="BI30" s="241">
        <v>0</v>
      </c>
      <c r="BJ30" s="241">
        <v>0</v>
      </c>
      <c r="BK30" s="241">
        <v>0</v>
      </c>
      <c r="BL30" s="241">
        <v>0</v>
      </c>
      <c r="BM30" s="241">
        <v>0</v>
      </c>
      <c r="BN30" s="241"/>
      <c r="BO30" s="235"/>
      <c r="BP30" s="251"/>
      <c r="BQ30" s="251"/>
      <c r="BR30" s="251"/>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5"/>
      <c r="CS30" s="265">
        <v>2020</v>
      </c>
      <c r="CT30" s="263">
        <v>27</v>
      </c>
      <c r="CU30" s="263" t="s">
        <v>710</v>
      </c>
      <c r="CV30" s="263">
        <v>-1197275953110.0293</v>
      </c>
      <c r="CW30" s="263">
        <v>-1060544668257</v>
      </c>
      <c r="CX30" s="263">
        <v>5843</v>
      </c>
      <c r="CY30" s="263">
        <v>376734073725.29993</v>
      </c>
      <c r="CZ30" s="263">
        <v>432510146855</v>
      </c>
      <c r="DA30" s="263">
        <v>2934</v>
      </c>
      <c r="DB30" s="263">
        <v>1574010026835.3293</v>
      </c>
      <c r="DC30" s="263">
        <v>1493054815112</v>
      </c>
      <c r="DD30" s="263">
        <v>2909</v>
      </c>
    </row>
    <row r="31" spans="1:108" x14ac:dyDescent="0.25">
      <c r="B31" s="181" t="s">
        <v>236</v>
      </c>
      <c r="C31" s="184">
        <v>38713</v>
      </c>
      <c r="D31" s="181">
        <v>14630.23</v>
      </c>
      <c r="E31" s="211">
        <v>1</v>
      </c>
      <c r="F31" s="202"/>
      <c r="G31" s="211" t="s">
        <v>46</v>
      </c>
      <c r="H31" s="211">
        <v>63199.422052649999</v>
      </c>
      <c r="I31" s="158"/>
      <c r="J31" s="153"/>
      <c r="K31" s="217"/>
      <c r="L31" s="216"/>
      <c r="M31" s="216"/>
      <c r="O31" s="229" t="s">
        <v>46</v>
      </c>
      <c r="P31" s="229">
        <v>64364.386397360002</v>
      </c>
      <c r="Q31" s="227"/>
      <c r="R31" s="152"/>
      <c r="S31" s="241"/>
      <c r="T31" s="246"/>
      <c r="U31" s="246"/>
      <c r="V31" s="246"/>
      <c r="W31" s="246"/>
      <c r="X31" s="246"/>
      <c r="Y31" s="233"/>
      <c r="Z31" s="241" t="s">
        <v>663</v>
      </c>
      <c r="AA31" s="241">
        <v>4179887.5</v>
      </c>
      <c r="AB31" s="241">
        <v>448</v>
      </c>
      <c r="AC31" s="241">
        <v>124</v>
      </c>
      <c r="AD31" s="241">
        <v>47646</v>
      </c>
      <c r="AE31" s="241">
        <v>0</v>
      </c>
      <c r="AF31" s="241"/>
      <c r="AG31" s="241" t="s">
        <v>665</v>
      </c>
      <c r="AH31" s="241">
        <v>0</v>
      </c>
      <c r="AI31" s="241">
        <v>0</v>
      </c>
      <c r="AJ31" s="241">
        <v>0</v>
      </c>
      <c r="AK31" s="241">
        <v>0</v>
      </c>
      <c r="AL31" s="241">
        <v>0</v>
      </c>
      <c r="AM31" s="233"/>
      <c r="AN31" s="241" t="s">
        <v>663</v>
      </c>
      <c r="AO31" s="241">
        <v>8654703</v>
      </c>
      <c r="AP31" s="241">
        <v>1320</v>
      </c>
      <c r="AQ31" s="241">
        <v>110</v>
      </c>
      <c r="AR31" s="241">
        <v>64261</v>
      </c>
      <c r="AS31" s="241">
        <v>0</v>
      </c>
      <c r="AT31" s="233"/>
      <c r="AU31" s="241" t="s">
        <v>663</v>
      </c>
      <c r="AV31" s="241">
        <v>99000</v>
      </c>
      <c r="AW31" s="241">
        <v>6</v>
      </c>
      <c r="AX31" s="241">
        <v>3</v>
      </c>
      <c r="AY31" s="241">
        <v>2748</v>
      </c>
      <c r="AZ31" s="241">
        <v>0</v>
      </c>
      <c r="BA31" s="233"/>
      <c r="BB31" s="241" t="s">
        <v>663</v>
      </c>
      <c r="BC31" s="241">
        <v>19230051.260000002</v>
      </c>
      <c r="BD31" s="241">
        <v>1923</v>
      </c>
      <c r="BE31" s="241">
        <v>117</v>
      </c>
      <c r="BF31" s="241">
        <v>122017</v>
      </c>
      <c r="BG31" s="241">
        <v>0</v>
      </c>
      <c r="BH31" s="235" t="s">
        <v>665</v>
      </c>
      <c r="BI31" s="241">
        <v>0</v>
      </c>
      <c r="BJ31" s="241">
        <v>0</v>
      </c>
      <c r="BK31" s="241">
        <v>0</v>
      </c>
      <c r="BL31" s="241">
        <v>0</v>
      </c>
      <c r="BM31" s="241">
        <v>0</v>
      </c>
      <c r="BN31" s="241"/>
      <c r="BO31" s="244" t="s">
        <v>437</v>
      </c>
      <c r="BP31" s="252" t="s">
        <v>523</v>
      </c>
      <c r="BQ31" s="252" t="s">
        <v>630</v>
      </c>
      <c r="BR31" s="252" t="s">
        <v>631</v>
      </c>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5"/>
      <c r="CS31" s="265">
        <v>2020</v>
      </c>
      <c r="CT31" s="263">
        <v>27</v>
      </c>
      <c r="CU31" s="263" t="s">
        <v>711</v>
      </c>
      <c r="CV31" s="263">
        <v>1141623115614.4304</v>
      </c>
      <c r="CW31" s="263">
        <v>1010526225443</v>
      </c>
      <c r="CX31" s="263">
        <v>5616</v>
      </c>
      <c r="CY31" s="263">
        <v>1501008861542.2805</v>
      </c>
      <c r="CZ31" s="263">
        <v>1423333775443</v>
      </c>
      <c r="DA31" s="263">
        <v>2782</v>
      </c>
      <c r="DB31" s="263">
        <v>359385745927.84991</v>
      </c>
      <c r="DC31" s="263">
        <v>412807550000</v>
      </c>
      <c r="DD31" s="263">
        <v>2834</v>
      </c>
    </row>
    <row r="32" spans="1:108" x14ac:dyDescent="0.25">
      <c r="B32" s="181" t="s">
        <v>254</v>
      </c>
      <c r="C32" s="184">
        <v>44263</v>
      </c>
      <c r="D32" s="181">
        <v>67897.783925569995</v>
      </c>
      <c r="E32" s="211">
        <v>1</v>
      </c>
      <c r="F32" s="197"/>
      <c r="G32" s="211" t="s">
        <v>42</v>
      </c>
      <c r="H32" s="211">
        <v>70475.017329440001</v>
      </c>
      <c r="I32" s="158"/>
      <c r="J32" s="152"/>
      <c r="K32" s="217"/>
      <c r="L32" s="216"/>
      <c r="M32" s="216"/>
      <c r="O32" s="229" t="s">
        <v>42</v>
      </c>
      <c r="P32" s="229">
        <v>67464.688530629996</v>
      </c>
      <c r="Q32" s="227"/>
      <c r="R32" s="152"/>
      <c r="S32" s="241"/>
      <c r="T32" s="246"/>
      <c r="U32" s="246"/>
      <c r="V32" s="246"/>
      <c r="W32" s="246"/>
      <c r="X32" s="246"/>
      <c r="Y32" s="233"/>
      <c r="Z32" s="241" t="s">
        <v>664</v>
      </c>
      <c r="AA32" s="241">
        <v>0</v>
      </c>
      <c r="AB32" s="241">
        <v>0</v>
      </c>
      <c r="AC32" s="241">
        <v>0</v>
      </c>
      <c r="AD32" s="241">
        <v>0</v>
      </c>
      <c r="AE32" s="241">
        <v>0</v>
      </c>
      <c r="AF32" s="241"/>
      <c r="AG32" s="241" t="s">
        <v>666</v>
      </c>
      <c r="AH32" s="241">
        <v>0</v>
      </c>
      <c r="AI32" s="241">
        <v>0</v>
      </c>
      <c r="AJ32" s="241">
        <v>0</v>
      </c>
      <c r="AK32" s="241">
        <v>0</v>
      </c>
      <c r="AL32" s="241">
        <v>0</v>
      </c>
      <c r="AM32" s="233"/>
      <c r="AN32" s="241" t="s">
        <v>664</v>
      </c>
      <c r="AO32" s="241">
        <v>0</v>
      </c>
      <c r="AP32" s="241">
        <v>0</v>
      </c>
      <c r="AQ32" s="241">
        <v>0</v>
      </c>
      <c r="AR32" s="241">
        <v>0</v>
      </c>
      <c r="AS32" s="241">
        <v>0</v>
      </c>
      <c r="AT32" s="233"/>
      <c r="AU32" s="241" t="s">
        <v>664</v>
      </c>
      <c r="AV32" s="241">
        <v>0</v>
      </c>
      <c r="AW32" s="241">
        <v>0</v>
      </c>
      <c r="AX32" s="241">
        <v>0</v>
      </c>
      <c r="AY32" s="241">
        <v>0</v>
      </c>
      <c r="AZ32" s="241">
        <v>0</v>
      </c>
      <c r="BA32" s="233"/>
      <c r="BB32" s="241" t="s">
        <v>664</v>
      </c>
      <c r="BC32" s="241">
        <v>0</v>
      </c>
      <c r="BD32" s="241">
        <v>0</v>
      </c>
      <c r="BE32" s="241">
        <v>0</v>
      </c>
      <c r="BF32" s="241">
        <v>0</v>
      </c>
      <c r="BG32" s="241">
        <v>0</v>
      </c>
      <c r="BH32" s="235" t="s">
        <v>666</v>
      </c>
      <c r="BI32" s="241">
        <v>0</v>
      </c>
      <c r="BJ32" s="241">
        <v>0</v>
      </c>
      <c r="BK32" s="241">
        <v>0</v>
      </c>
      <c r="BL32" s="241">
        <v>0</v>
      </c>
      <c r="BM32" s="241">
        <v>0</v>
      </c>
      <c r="BN32" s="241"/>
      <c r="BO32" s="233"/>
      <c r="BP32" s="251">
        <v>1194051503240.0901</v>
      </c>
      <c r="BQ32" s="251">
        <v>11904551</v>
      </c>
      <c r="BR32" s="251">
        <v>11599</v>
      </c>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5"/>
      <c r="CS32" s="265">
        <v>2020</v>
      </c>
      <c r="CT32" s="263">
        <v>404</v>
      </c>
      <c r="CU32" s="263" t="s">
        <v>712</v>
      </c>
      <c r="CV32" s="263">
        <v>-60511989692.670044</v>
      </c>
      <c r="CW32" s="263">
        <v>-66684753208</v>
      </c>
      <c r="CX32" s="263">
        <v>9003</v>
      </c>
      <c r="CY32" s="263">
        <v>201830945233.62</v>
      </c>
      <c r="CZ32" s="263">
        <v>204389643971</v>
      </c>
      <c r="DA32" s="263">
        <v>4309</v>
      </c>
      <c r="DB32" s="263">
        <v>262342934926.28995</v>
      </c>
      <c r="DC32" s="263">
        <v>271074397179</v>
      </c>
      <c r="DD32" s="263">
        <v>4694</v>
      </c>
    </row>
    <row r="33" spans="1:108" x14ac:dyDescent="0.25">
      <c r="B33" s="181" t="s">
        <v>619</v>
      </c>
      <c r="C33" s="184">
        <v>42118</v>
      </c>
      <c r="D33" s="181">
        <v>1315.36</v>
      </c>
      <c r="E33" s="211">
        <v>1</v>
      </c>
      <c r="F33" s="198"/>
      <c r="G33" s="211" t="s">
        <v>48</v>
      </c>
      <c r="H33" s="211">
        <v>8313.1621427099999</v>
      </c>
      <c r="I33" s="158"/>
      <c r="J33" s="152"/>
      <c r="K33" s="216"/>
      <c r="L33" s="216"/>
      <c r="M33" s="216"/>
      <c r="O33" s="229" t="s">
        <v>48</v>
      </c>
      <c r="P33" s="229">
        <v>8275.3078635999991</v>
      </c>
      <c r="Q33" s="227"/>
      <c r="R33" s="148" t="s">
        <v>421</v>
      </c>
      <c r="S33" s="241"/>
      <c r="T33" s="246"/>
      <c r="U33" s="246"/>
      <c r="V33" s="246"/>
      <c r="W33" s="246"/>
      <c r="X33" s="246"/>
      <c r="Y33" s="233"/>
      <c r="Z33" s="241" t="s">
        <v>665</v>
      </c>
      <c r="AA33" s="241">
        <v>0</v>
      </c>
      <c r="AB33" s="241">
        <v>0</v>
      </c>
      <c r="AC33" s="241">
        <v>0</v>
      </c>
      <c r="AD33" s="241">
        <v>0</v>
      </c>
      <c r="AE33" s="241">
        <v>0</v>
      </c>
      <c r="AF33" s="241"/>
      <c r="AG33" s="241" t="s">
        <v>667</v>
      </c>
      <c r="AH33" s="241">
        <v>0</v>
      </c>
      <c r="AI33" s="241">
        <v>0</v>
      </c>
      <c r="AJ33" s="241">
        <v>0</v>
      </c>
      <c r="AK33" s="241">
        <v>0</v>
      </c>
      <c r="AL33" s="241">
        <v>0</v>
      </c>
      <c r="AM33" s="233"/>
      <c r="AN33" s="241" t="s">
        <v>665</v>
      </c>
      <c r="AO33" s="241">
        <v>0</v>
      </c>
      <c r="AP33" s="241">
        <v>0</v>
      </c>
      <c r="AQ33" s="241">
        <v>0</v>
      </c>
      <c r="AR33" s="241">
        <v>0</v>
      </c>
      <c r="AS33" s="241">
        <v>0</v>
      </c>
      <c r="AT33" s="233"/>
      <c r="AU33" s="241" t="s">
        <v>665</v>
      </c>
      <c r="AV33" s="241">
        <v>0</v>
      </c>
      <c r="AW33" s="241">
        <v>0</v>
      </c>
      <c r="AX33" s="241">
        <v>0</v>
      </c>
      <c r="AY33" s="241">
        <v>0</v>
      </c>
      <c r="AZ33" s="241">
        <v>0</v>
      </c>
      <c r="BA33" s="233"/>
      <c r="BB33" s="241" t="s">
        <v>665</v>
      </c>
      <c r="BC33" s="241">
        <v>0</v>
      </c>
      <c r="BD33" s="241">
        <v>0</v>
      </c>
      <c r="BE33" s="241">
        <v>0</v>
      </c>
      <c r="BF33" s="241">
        <v>0</v>
      </c>
      <c r="BG33" s="241">
        <v>0</v>
      </c>
      <c r="BH33" s="235" t="s">
        <v>667</v>
      </c>
      <c r="BI33" s="241">
        <v>0</v>
      </c>
      <c r="BJ33" s="241">
        <v>0</v>
      </c>
      <c r="BK33" s="241">
        <v>0</v>
      </c>
      <c r="BL33" s="241">
        <v>0</v>
      </c>
      <c r="BM33" s="241">
        <v>0</v>
      </c>
      <c r="BN33" s="241"/>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5"/>
      <c r="CS33" s="265">
        <v>2020</v>
      </c>
      <c r="CT33" s="263">
        <v>174</v>
      </c>
      <c r="CU33" s="263" t="s">
        <v>713</v>
      </c>
      <c r="CV33" s="263">
        <v>1123356067.5200334</v>
      </c>
      <c r="CW33" s="263">
        <v>-52030825</v>
      </c>
      <c r="CX33" s="263">
        <v>27747</v>
      </c>
      <c r="CY33" s="263">
        <v>1026220629872.8</v>
      </c>
      <c r="CZ33" s="263">
        <v>1068617961284</v>
      </c>
      <c r="DA33" s="263">
        <v>13909</v>
      </c>
      <c r="DB33" s="263">
        <v>1025097273805.28</v>
      </c>
      <c r="DC33" s="263">
        <v>1068669992109</v>
      </c>
      <c r="DD33" s="263">
        <v>13838</v>
      </c>
    </row>
    <row r="34" spans="1:108" x14ac:dyDescent="0.25">
      <c r="B34" s="181" t="s">
        <v>532</v>
      </c>
      <c r="C34" s="184">
        <v>44523</v>
      </c>
      <c r="D34" s="181">
        <v>72168.072165820005</v>
      </c>
      <c r="E34" s="211">
        <v>1</v>
      </c>
      <c r="F34" s="198"/>
      <c r="G34" s="211" t="s">
        <v>532</v>
      </c>
      <c r="H34" s="211">
        <v>71642.085470160004</v>
      </c>
      <c r="I34" s="158"/>
      <c r="J34" s="152"/>
      <c r="K34" s="216"/>
      <c r="L34" s="216"/>
      <c r="M34" s="216"/>
      <c r="O34" s="229" t="s">
        <v>532</v>
      </c>
      <c r="P34" s="229">
        <v>67370.743133390002</v>
      </c>
      <c r="Q34" s="227"/>
      <c r="R34" s="152"/>
      <c r="S34" s="241"/>
      <c r="T34" s="246"/>
      <c r="U34" s="246"/>
      <c r="V34" s="246"/>
      <c r="W34" s="246"/>
      <c r="X34" s="246"/>
      <c r="Y34" s="233"/>
      <c r="Z34" s="241" t="s">
        <v>666</v>
      </c>
      <c r="AA34" s="241">
        <v>0</v>
      </c>
      <c r="AB34" s="241">
        <v>0</v>
      </c>
      <c r="AC34" s="241">
        <v>0</v>
      </c>
      <c r="AD34" s="241">
        <v>0</v>
      </c>
      <c r="AE34" s="241">
        <v>0</v>
      </c>
      <c r="AF34" s="241"/>
      <c r="AG34" s="241" t="s">
        <v>668</v>
      </c>
      <c r="AH34" s="241">
        <v>0</v>
      </c>
      <c r="AI34" s="241">
        <v>0</v>
      </c>
      <c r="AJ34" s="241">
        <v>0</v>
      </c>
      <c r="AK34" s="241">
        <v>0</v>
      </c>
      <c r="AL34" s="241">
        <v>0</v>
      </c>
      <c r="AM34" s="233"/>
      <c r="AN34" s="241" t="s">
        <v>666</v>
      </c>
      <c r="AO34" s="241">
        <v>0</v>
      </c>
      <c r="AP34" s="241">
        <v>0</v>
      </c>
      <c r="AQ34" s="241">
        <v>0</v>
      </c>
      <c r="AR34" s="241">
        <v>0</v>
      </c>
      <c r="AS34" s="241">
        <v>0</v>
      </c>
      <c r="AT34" s="233"/>
      <c r="AU34" s="241" t="s">
        <v>666</v>
      </c>
      <c r="AV34" s="241">
        <v>0</v>
      </c>
      <c r="AW34" s="241">
        <v>0</v>
      </c>
      <c r="AX34" s="241">
        <v>0</v>
      </c>
      <c r="AY34" s="241">
        <v>0</v>
      </c>
      <c r="AZ34" s="241">
        <v>0</v>
      </c>
      <c r="BA34" s="233"/>
      <c r="BB34" s="241" t="s">
        <v>666</v>
      </c>
      <c r="BC34" s="241">
        <v>0</v>
      </c>
      <c r="BD34" s="241">
        <v>0</v>
      </c>
      <c r="BE34" s="241">
        <v>0</v>
      </c>
      <c r="BF34" s="241">
        <v>0</v>
      </c>
      <c r="BG34" s="241">
        <v>0</v>
      </c>
      <c r="BH34" s="235" t="s">
        <v>668</v>
      </c>
      <c r="BI34" s="241">
        <v>0</v>
      </c>
      <c r="BJ34" s="241">
        <v>0</v>
      </c>
      <c r="BK34" s="241">
        <v>0</v>
      </c>
      <c r="BL34" s="241">
        <v>0</v>
      </c>
      <c r="BM34" s="241">
        <v>0</v>
      </c>
      <c r="BN34" s="241"/>
      <c r="BO34" s="244" t="s">
        <v>448</v>
      </c>
      <c r="BP34" s="252" t="s">
        <v>523</v>
      </c>
      <c r="BQ34" s="252" t="s">
        <v>630</v>
      </c>
      <c r="BR34" s="252" t="s">
        <v>631</v>
      </c>
      <c r="BS34" s="233"/>
      <c r="BT34" s="233"/>
      <c r="BU34" s="233"/>
      <c r="BV34" s="233"/>
      <c r="BW34" s="233"/>
      <c r="BX34" s="233"/>
      <c r="BY34" s="233"/>
      <c r="BZ34" s="233"/>
      <c r="CA34" s="233"/>
      <c r="CB34" s="233"/>
      <c r="CC34" s="233"/>
      <c r="CD34" s="233"/>
      <c r="CE34" s="233"/>
      <c r="CF34" s="233"/>
      <c r="CG34" s="233"/>
      <c r="CH34" s="233"/>
      <c r="CI34" s="233"/>
      <c r="CJ34" s="233"/>
      <c r="CK34" s="233"/>
      <c r="CL34" s="233"/>
      <c r="CM34" s="233"/>
      <c r="CN34" s="233"/>
      <c r="CO34" s="233"/>
      <c r="CP34" s="233"/>
      <c r="CQ34" s="233"/>
      <c r="CR34" s="235"/>
      <c r="CS34" s="265">
        <v>2020</v>
      </c>
      <c r="CT34" s="263">
        <v>26</v>
      </c>
      <c r="CU34" s="263" t="s">
        <v>714</v>
      </c>
      <c r="CV34" s="263">
        <v>-29560512259.849998</v>
      </c>
      <c r="CW34" s="263">
        <v>-36673867845</v>
      </c>
      <c r="CX34" s="263">
        <v>632</v>
      </c>
      <c r="CY34" s="263">
        <v>27507743099.32</v>
      </c>
      <c r="CZ34" s="263">
        <v>26947011837</v>
      </c>
      <c r="DA34" s="263">
        <v>149</v>
      </c>
      <c r="DB34" s="263">
        <v>57068255359.170013</v>
      </c>
      <c r="DC34" s="263">
        <v>63620879682</v>
      </c>
      <c r="DD34" s="263">
        <v>483</v>
      </c>
    </row>
    <row r="35" spans="1:108" x14ac:dyDescent="0.25">
      <c r="B35" s="181" t="s">
        <v>64</v>
      </c>
      <c r="C35" s="184">
        <v>44516</v>
      </c>
      <c r="D35" s="181">
        <v>95652.473623790007</v>
      </c>
      <c r="E35" s="211">
        <v>1</v>
      </c>
      <c r="F35" s="214"/>
      <c r="G35" s="211" t="s">
        <v>533</v>
      </c>
      <c r="H35" s="211">
        <v>68516.224513180001</v>
      </c>
      <c r="I35" s="158"/>
      <c r="J35" s="152"/>
      <c r="K35" s="216"/>
      <c r="L35" s="216"/>
      <c r="M35" s="216"/>
      <c r="O35" s="229" t="s">
        <v>533</v>
      </c>
      <c r="P35" s="229">
        <v>65413.991284520001</v>
      </c>
      <c r="Q35" s="227"/>
      <c r="R35" s="152"/>
      <c r="S35" s="241"/>
      <c r="T35" s="246"/>
      <c r="U35" s="246"/>
      <c r="V35" s="246"/>
      <c r="W35" s="246"/>
      <c r="X35" s="246"/>
      <c r="Y35" s="233"/>
      <c r="Z35" s="241" t="s">
        <v>667</v>
      </c>
      <c r="AA35" s="241">
        <v>0</v>
      </c>
      <c r="AB35" s="241">
        <v>0</v>
      </c>
      <c r="AC35" s="241">
        <v>0</v>
      </c>
      <c r="AD35" s="241">
        <v>0</v>
      </c>
      <c r="AE35" s="241">
        <v>0</v>
      </c>
      <c r="AF35" s="241"/>
      <c r="AG35" s="241" t="s">
        <v>669</v>
      </c>
      <c r="AH35" s="241">
        <v>137544</v>
      </c>
      <c r="AI35" s="241">
        <v>10</v>
      </c>
      <c r="AJ35" s="241">
        <v>5</v>
      </c>
      <c r="AK35" s="241">
        <v>1168</v>
      </c>
      <c r="AL35" s="241">
        <v>0</v>
      </c>
      <c r="AM35" s="233"/>
      <c r="AN35" s="241" t="s">
        <v>667</v>
      </c>
      <c r="AO35" s="241">
        <v>0</v>
      </c>
      <c r="AP35" s="241">
        <v>0</v>
      </c>
      <c r="AQ35" s="241">
        <v>0</v>
      </c>
      <c r="AR35" s="241">
        <v>0</v>
      </c>
      <c r="AS35" s="241">
        <v>0</v>
      </c>
      <c r="AT35" s="233"/>
      <c r="AU35" s="241" t="s">
        <v>667</v>
      </c>
      <c r="AV35" s="241">
        <v>0</v>
      </c>
      <c r="AW35" s="241">
        <v>0</v>
      </c>
      <c r="AX35" s="241">
        <v>0</v>
      </c>
      <c r="AY35" s="241">
        <v>0</v>
      </c>
      <c r="AZ35" s="241">
        <v>0</v>
      </c>
      <c r="BA35" s="233"/>
      <c r="BB35" s="241" t="s">
        <v>667</v>
      </c>
      <c r="BC35" s="241">
        <v>0</v>
      </c>
      <c r="BD35" s="241">
        <v>0</v>
      </c>
      <c r="BE35" s="241">
        <v>0</v>
      </c>
      <c r="BF35" s="241">
        <v>0</v>
      </c>
      <c r="BG35" s="241">
        <v>0</v>
      </c>
      <c r="BH35" s="235" t="s">
        <v>669</v>
      </c>
      <c r="BI35" s="241">
        <v>0</v>
      </c>
      <c r="BJ35" s="241">
        <v>0</v>
      </c>
      <c r="BK35" s="241">
        <v>0</v>
      </c>
      <c r="BL35" s="241">
        <v>997</v>
      </c>
      <c r="BM35" s="241">
        <v>0</v>
      </c>
      <c r="BN35" s="241"/>
      <c r="BO35" s="239"/>
      <c r="BP35" s="251">
        <v>990927908.33000004</v>
      </c>
      <c r="BQ35" s="251">
        <v>602324</v>
      </c>
      <c r="BR35" s="251">
        <v>1132</v>
      </c>
      <c r="BS35" s="233"/>
      <c r="BT35" s="233"/>
      <c r="BU35" s="233"/>
      <c r="BV35" s="233"/>
      <c r="BW35" s="233"/>
      <c r="BX35" s="233"/>
      <c r="BY35" s="233"/>
      <c r="BZ35" s="233"/>
      <c r="CA35" s="233"/>
      <c r="CB35" s="233"/>
      <c r="CC35" s="233"/>
      <c r="CD35" s="233"/>
      <c r="CE35" s="233"/>
      <c r="CF35" s="233"/>
      <c r="CG35" s="233"/>
      <c r="CH35" s="233"/>
      <c r="CI35" s="233"/>
      <c r="CJ35" s="233"/>
      <c r="CK35" s="233"/>
      <c r="CL35" s="233"/>
      <c r="CM35" s="233"/>
      <c r="CN35" s="233"/>
      <c r="CO35" s="233"/>
      <c r="CP35" s="233"/>
      <c r="CQ35" s="233"/>
      <c r="CR35" s="233"/>
      <c r="CS35" s="235"/>
      <c r="CT35" s="235"/>
      <c r="CU35" s="235"/>
      <c r="CV35" s="235"/>
      <c r="CW35" s="235"/>
      <c r="CX35" s="235"/>
      <c r="CY35" s="235"/>
      <c r="CZ35" s="235"/>
      <c r="DA35" s="235"/>
      <c r="DB35" s="235"/>
      <c r="DC35" s="235"/>
      <c r="DD35" s="235"/>
    </row>
    <row r="36" spans="1:108" x14ac:dyDescent="0.25">
      <c r="B36" s="181" t="s">
        <v>270</v>
      </c>
      <c r="C36" s="184">
        <v>41009</v>
      </c>
      <c r="D36" s="181">
        <v>91356.97</v>
      </c>
      <c r="E36" s="211">
        <v>1</v>
      </c>
      <c r="F36" s="198"/>
      <c r="G36" s="211" t="s">
        <v>255</v>
      </c>
      <c r="H36" s="211">
        <v>4297.6585854699997</v>
      </c>
      <c r="I36" s="158"/>
      <c r="J36" s="152"/>
      <c r="K36" s="216"/>
      <c r="L36" s="216"/>
      <c r="M36" s="216"/>
      <c r="O36" s="229" t="s">
        <v>255</v>
      </c>
      <c r="P36" s="229">
        <v>4300.3073271699996</v>
      </c>
      <c r="Q36" s="227"/>
      <c r="R36" s="152"/>
      <c r="S36" s="241"/>
      <c r="T36" s="246"/>
      <c r="U36" s="246"/>
      <c r="V36" s="246"/>
      <c r="W36" s="246"/>
      <c r="X36" s="246"/>
      <c r="Y36" s="233"/>
      <c r="Z36" s="241" t="s">
        <v>668</v>
      </c>
      <c r="AA36" s="241">
        <v>0</v>
      </c>
      <c r="AB36" s="241">
        <v>0</v>
      </c>
      <c r="AC36" s="241">
        <v>0</v>
      </c>
      <c r="AD36" s="241">
        <v>0</v>
      </c>
      <c r="AE36" s="241">
        <v>0</v>
      </c>
      <c r="AF36" s="241"/>
      <c r="AG36" s="241" t="s">
        <v>670</v>
      </c>
      <c r="AH36" s="241">
        <v>526298.19999999995</v>
      </c>
      <c r="AI36" s="241">
        <v>31</v>
      </c>
      <c r="AJ36" s="241">
        <v>9</v>
      </c>
      <c r="AK36" s="241">
        <v>9661</v>
      </c>
      <c r="AL36" s="241">
        <v>0</v>
      </c>
      <c r="AM36" s="233"/>
      <c r="AN36" s="241" t="s">
        <v>668</v>
      </c>
      <c r="AO36" s="241">
        <v>0</v>
      </c>
      <c r="AP36" s="241">
        <v>0</v>
      </c>
      <c r="AQ36" s="241">
        <v>0</v>
      </c>
      <c r="AR36" s="241">
        <v>0</v>
      </c>
      <c r="AS36" s="241">
        <v>0</v>
      </c>
      <c r="AT36" s="233"/>
      <c r="AU36" s="241" t="s">
        <v>668</v>
      </c>
      <c r="AV36" s="241">
        <v>0</v>
      </c>
      <c r="AW36" s="241">
        <v>0</v>
      </c>
      <c r="AX36" s="241">
        <v>0</v>
      </c>
      <c r="AY36" s="241">
        <v>0</v>
      </c>
      <c r="AZ36" s="241">
        <v>0</v>
      </c>
      <c r="BA36" s="233"/>
      <c r="BB36" s="241" t="s">
        <v>668</v>
      </c>
      <c r="BC36" s="241">
        <v>0</v>
      </c>
      <c r="BD36" s="241">
        <v>0</v>
      </c>
      <c r="BE36" s="241">
        <v>0</v>
      </c>
      <c r="BF36" s="241">
        <v>0</v>
      </c>
      <c r="BG36" s="241">
        <v>0</v>
      </c>
      <c r="BH36" s="235" t="s">
        <v>670</v>
      </c>
      <c r="BI36" s="241">
        <v>15936097.24</v>
      </c>
      <c r="BJ36" s="241">
        <v>1030</v>
      </c>
      <c r="BK36" s="241">
        <v>43</v>
      </c>
      <c r="BL36" s="241">
        <v>20358</v>
      </c>
      <c r="BM36" s="241">
        <v>0</v>
      </c>
      <c r="BN36" s="241"/>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c r="CK36" s="233"/>
      <c r="CL36" s="233"/>
      <c r="CM36" s="233"/>
      <c r="CN36" s="233"/>
      <c r="CO36" s="233"/>
      <c r="CP36" s="233"/>
      <c r="CQ36" s="233"/>
      <c r="CR36" s="233"/>
      <c r="CS36" s="235"/>
      <c r="CT36" s="235"/>
      <c r="CU36" s="235"/>
      <c r="CV36" s="235"/>
      <c r="CW36" s="235"/>
      <c r="CX36" s="235"/>
      <c r="CY36" s="235"/>
      <c r="CZ36" s="235"/>
      <c r="DA36" s="235"/>
      <c r="DB36" s="235"/>
      <c r="DC36" s="235"/>
      <c r="DD36" s="235"/>
    </row>
    <row r="37" spans="1:108" x14ac:dyDescent="0.25">
      <c r="B37" s="181" t="s">
        <v>279</v>
      </c>
      <c r="C37" s="184">
        <v>41689</v>
      </c>
      <c r="D37" s="181">
        <v>10314.608568510001</v>
      </c>
      <c r="E37" s="211">
        <v>1</v>
      </c>
      <c r="F37" s="202"/>
      <c r="G37" s="211" t="s">
        <v>60</v>
      </c>
      <c r="H37" s="211">
        <v>67251.210166119999</v>
      </c>
      <c r="I37" s="158"/>
      <c r="J37" s="152"/>
      <c r="K37" s="216"/>
      <c r="L37" s="216"/>
      <c r="M37" s="216"/>
      <c r="O37" s="229" t="s">
        <v>60</v>
      </c>
      <c r="P37" s="229">
        <v>62989.62311552</v>
      </c>
      <c r="Q37" s="227"/>
      <c r="R37" s="152"/>
      <c r="S37" s="241"/>
      <c r="T37" s="246"/>
      <c r="U37" s="246"/>
      <c r="V37" s="246"/>
      <c r="W37" s="246"/>
      <c r="X37" s="246"/>
      <c r="Y37" s="233"/>
      <c r="Z37" s="241" t="s">
        <v>669</v>
      </c>
      <c r="AA37" s="241">
        <v>11401613</v>
      </c>
      <c r="AB37" s="241">
        <v>1453</v>
      </c>
      <c r="AC37" s="241">
        <v>151</v>
      </c>
      <c r="AD37" s="241">
        <v>46459</v>
      </c>
      <c r="AE37" s="241">
        <v>0</v>
      </c>
      <c r="AF37" s="241"/>
      <c r="AG37" s="241" t="s">
        <v>672</v>
      </c>
      <c r="AH37" s="241">
        <v>450862</v>
      </c>
      <c r="AI37" s="241">
        <v>30</v>
      </c>
      <c r="AJ37" s="241">
        <v>7</v>
      </c>
      <c r="AK37" s="241">
        <v>8822</v>
      </c>
      <c r="AL37" s="241">
        <v>0</v>
      </c>
      <c r="AM37" s="233"/>
      <c r="AN37" s="241" t="s">
        <v>669</v>
      </c>
      <c r="AO37" s="241">
        <v>16111129.779999999</v>
      </c>
      <c r="AP37" s="241">
        <v>2388</v>
      </c>
      <c r="AQ37" s="241">
        <v>243</v>
      </c>
      <c r="AR37" s="241">
        <v>43387</v>
      </c>
      <c r="AS37" s="241">
        <v>0</v>
      </c>
      <c r="AT37" s="233"/>
      <c r="AU37" s="241" t="s">
        <v>669</v>
      </c>
      <c r="AV37" s="241">
        <v>121200</v>
      </c>
      <c r="AW37" s="241">
        <v>6</v>
      </c>
      <c r="AX37" s="241">
        <v>3</v>
      </c>
      <c r="AY37" s="241">
        <v>2193</v>
      </c>
      <c r="AZ37" s="241">
        <v>0</v>
      </c>
      <c r="BA37" s="233"/>
      <c r="BB37" s="241" t="s">
        <v>669</v>
      </c>
      <c r="BC37" s="241">
        <v>4051417.33</v>
      </c>
      <c r="BD37" s="241">
        <v>756</v>
      </c>
      <c r="BE37" s="241">
        <v>81</v>
      </c>
      <c r="BF37" s="241">
        <v>55443</v>
      </c>
      <c r="BG37" s="241">
        <v>0</v>
      </c>
      <c r="BH37" s="235" t="s">
        <v>671</v>
      </c>
      <c r="BI37" s="241">
        <v>0</v>
      </c>
      <c r="BJ37" s="241">
        <v>0</v>
      </c>
      <c r="BK37" s="241">
        <v>0</v>
      </c>
      <c r="BL37" s="241">
        <v>0</v>
      </c>
      <c r="BM37" s="241">
        <v>0</v>
      </c>
      <c r="BN37" s="241"/>
      <c r="BO37" s="244" t="s">
        <v>440</v>
      </c>
      <c r="BP37" s="252" t="s">
        <v>523</v>
      </c>
      <c r="BQ37" s="252" t="s">
        <v>630</v>
      </c>
      <c r="BR37" s="252" t="s">
        <v>631</v>
      </c>
      <c r="BS37" s="233"/>
      <c r="BT37" s="233"/>
      <c r="BU37" s="233"/>
      <c r="BV37" s="233"/>
      <c r="BW37" s="233"/>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5"/>
      <c r="CT37" s="235"/>
      <c r="CU37" s="235"/>
      <c r="CV37" s="235"/>
      <c r="CW37" s="235"/>
      <c r="CX37" s="235"/>
      <c r="CY37" s="235"/>
      <c r="CZ37" s="235"/>
      <c r="DA37" s="235"/>
      <c r="DB37" s="235"/>
      <c r="DC37" s="235"/>
      <c r="DD37" s="235"/>
    </row>
    <row r="38" spans="1:108" x14ac:dyDescent="0.25">
      <c r="B38" s="181" t="s">
        <v>535</v>
      </c>
      <c r="C38" s="184">
        <v>43125</v>
      </c>
      <c r="D38" s="181">
        <v>19449.716547939999</v>
      </c>
      <c r="E38" s="211">
        <v>1</v>
      </c>
      <c r="F38" s="202"/>
      <c r="G38" s="211" t="s">
        <v>64</v>
      </c>
      <c r="H38" s="211">
        <v>93123.171694069999</v>
      </c>
      <c r="I38" s="158"/>
      <c r="J38" s="152"/>
      <c r="K38" s="216"/>
      <c r="L38" s="216"/>
      <c r="M38" s="216"/>
      <c r="O38" s="229" t="s">
        <v>64</v>
      </c>
      <c r="P38" s="229">
        <v>87489.628259019999</v>
      </c>
      <c r="Q38" s="227"/>
      <c r="R38" s="152"/>
      <c r="S38" s="241"/>
      <c r="T38" s="246"/>
      <c r="U38" s="246"/>
      <c r="V38" s="246"/>
      <c r="W38" s="246"/>
      <c r="X38" s="246"/>
      <c r="Y38" s="233"/>
      <c r="Z38" s="241" t="s">
        <v>670</v>
      </c>
      <c r="AA38" s="241">
        <v>58650432.530000001</v>
      </c>
      <c r="AB38" s="241">
        <v>6280</v>
      </c>
      <c r="AC38" s="241">
        <v>846</v>
      </c>
      <c r="AD38" s="241">
        <v>393933</v>
      </c>
      <c r="AE38" s="241">
        <v>0</v>
      </c>
      <c r="AF38" s="241"/>
      <c r="AG38" s="241" t="s">
        <v>634</v>
      </c>
      <c r="AH38" s="241">
        <v>1403486193.3800001</v>
      </c>
      <c r="AI38" s="241">
        <v>4533</v>
      </c>
      <c r="AJ38" s="241">
        <v>252</v>
      </c>
      <c r="AK38" s="241">
        <v>23613</v>
      </c>
      <c r="AL38" s="241">
        <v>1</v>
      </c>
      <c r="AM38" s="233"/>
      <c r="AN38" s="241" t="s">
        <v>670</v>
      </c>
      <c r="AO38" s="241">
        <v>84908950.689999998</v>
      </c>
      <c r="AP38" s="241">
        <v>7249</v>
      </c>
      <c r="AQ38" s="241">
        <v>758</v>
      </c>
      <c r="AR38" s="241">
        <v>431782</v>
      </c>
      <c r="AS38" s="241">
        <v>0</v>
      </c>
      <c r="AT38" s="233"/>
      <c r="AU38" s="241" t="s">
        <v>670</v>
      </c>
      <c r="AV38" s="241">
        <v>13298575.83</v>
      </c>
      <c r="AW38" s="241">
        <v>985</v>
      </c>
      <c r="AX38" s="241">
        <v>84</v>
      </c>
      <c r="AY38" s="241">
        <v>21248</v>
      </c>
      <c r="AZ38" s="241">
        <v>0</v>
      </c>
      <c r="BA38" s="233"/>
      <c r="BB38" s="241" t="s">
        <v>670</v>
      </c>
      <c r="BC38" s="241">
        <v>223115263.75999999</v>
      </c>
      <c r="BD38" s="241">
        <v>11816</v>
      </c>
      <c r="BE38" s="241">
        <v>903</v>
      </c>
      <c r="BF38" s="241">
        <v>652928</v>
      </c>
      <c r="BG38" s="241">
        <v>0</v>
      </c>
      <c r="BH38" s="235" t="s">
        <v>672</v>
      </c>
      <c r="BI38" s="241">
        <v>6007292</v>
      </c>
      <c r="BJ38" s="241">
        <v>463</v>
      </c>
      <c r="BK38" s="241">
        <v>14</v>
      </c>
      <c r="BL38" s="241">
        <v>16163</v>
      </c>
      <c r="BM38" s="241">
        <v>0</v>
      </c>
      <c r="BN38" s="241"/>
      <c r="BO38" s="235"/>
      <c r="BP38" s="251">
        <v>1257837794002.6899</v>
      </c>
      <c r="BQ38" s="251">
        <v>12420662</v>
      </c>
      <c r="BR38" s="251">
        <v>14679</v>
      </c>
      <c r="BS38" s="233"/>
      <c r="BT38" s="233"/>
      <c r="BU38" s="233"/>
      <c r="BV38" s="233"/>
      <c r="BW38" s="233"/>
      <c r="BX38" s="233"/>
      <c r="BY38" s="233"/>
      <c r="BZ38" s="233"/>
      <c r="CA38" s="233"/>
      <c r="CB38" s="233"/>
      <c r="CC38" s="233"/>
      <c r="CD38" s="233"/>
      <c r="CE38" s="233"/>
      <c r="CF38" s="233"/>
      <c r="CG38" s="233"/>
      <c r="CH38" s="233"/>
      <c r="CI38" s="233"/>
      <c r="CJ38" s="233"/>
      <c r="CK38" s="233"/>
      <c r="CL38" s="233"/>
      <c r="CM38" s="233"/>
      <c r="CN38" s="233"/>
      <c r="CO38" s="233"/>
      <c r="CP38" s="233"/>
      <c r="CQ38" s="233"/>
      <c r="CR38" s="233"/>
      <c r="CS38" s="235"/>
      <c r="CT38" s="235"/>
      <c r="CU38" s="235"/>
      <c r="CV38" s="235"/>
      <c r="CW38" s="235"/>
      <c r="CX38" s="235"/>
      <c r="CY38" s="235"/>
      <c r="CZ38" s="235"/>
      <c r="DA38" s="235"/>
      <c r="DB38" s="235"/>
      <c r="DC38" s="235"/>
      <c r="DD38" s="235"/>
    </row>
    <row r="39" spans="1:108" x14ac:dyDescent="0.25">
      <c r="A39" s="144"/>
      <c r="B39" s="181" t="s">
        <v>620</v>
      </c>
      <c r="C39" s="184">
        <v>44244</v>
      </c>
      <c r="D39" s="181">
        <v>27908.368237300001</v>
      </c>
      <c r="E39" s="211">
        <v>1</v>
      </c>
      <c r="F39" s="202"/>
      <c r="G39" s="211" t="s">
        <v>66</v>
      </c>
      <c r="H39" s="211">
        <v>13591.20469239</v>
      </c>
      <c r="I39" s="158"/>
      <c r="J39" s="152"/>
      <c r="K39" s="216"/>
      <c r="L39" s="216"/>
      <c r="M39" s="216"/>
      <c r="O39" s="229" t="s">
        <v>66</v>
      </c>
      <c r="P39" s="229">
        <v>13956.136429100001</v>
      </c>
      <c r="Q39" s="227"/>
      <c r="R39" s="152"/>
      <c r="S39" s="241"/>
      <c r="T39" s="246"/>
      <c r="U39" s="246"/>
      <c r="V39" s="246"/>
      <c r="W39" s="246"/>
      <c r="X39" s="246"/>
      <c r="Y39" s="233"/>
      <c r="Z39" s="241" t="s">
        <v>671</v>
      </c>
      <c r="AA39" s="241">
        <v>0</v>
      </c>
      <c r="AB39" s="241">
        <v>0</v>
      </c>
      <c r="AC39" s="241">
        <v>0</v>
      </c>
      <c r="AD39" s="241">
        <v>0</v>
      </c>
      <c r="AE39" s="241">
        <v>0</v>
      </c>
      <c r="AF39" s="241"/>
      <c r="AG39" s="241" t="s">
        <v>635</v>
      </c>
      <c r="AH39" s="241">
        <v>4156151.76</v>
      </c>
      <c r="AI39" s="241">
        <v>36</v>
      </c>
      <c r="AJ39" s="241">
        <v>1</v>
      </c>
      <c r="AK39" s="241">
        <v>3</v>
      </c>
      <c r="AL39" s="241">
        <v>1</v>
      </c>
      <c r="AM39" s="233"/>
      <c r="AN39" s="241" t="s">
        <v>671</v>
      </c>
      <c r="AO39" s="241">
        <v>0</v>
      </c>
      <c r="AP39" s="241">
        <v>0</v>
      </c>
      <c r="AQ39" s="241">
        <v>0</v>
      </c>
      <c r="AR39" s="241">
        <v>0</v>
      </c>
      <c r="AS39" s="241">
        <v>0</v>
      </c>
      <c r="AT39" s="233"/>
      <c r="AU39" s="241" t="s">
        <v>671</v>
      </c>
      <c r="AV39" s="241">
        <v>0</v>
      </c>
      <c r="AW39" s="241">
        <v>0</v>
      </c>
      <c r="AX39" s="241">
        <v>0</v>
      </c>
      <c r="AY39" s="241">
        <v>0</v>
      </c>
      <c r="AZ39" s="241">
        <v>0</v>
      </c>
      <c r="BA39" s="233"/>
      <c r="BB39" s="241" t="s">
        <v>671</v>
      </c>
      <c r="BC39" s="241">
        <v>0</v>
      </c>
      <c r="BD39" s="241">
        <v>0</v>
      </c>
      <c r="BE39" s="241">
        <v>0</v>
      </c>
      <c r="BF39" s="241">
        <v>0</v>
      </c>
      <c r="BG39" s="241">
        <v>0</v>
      </c>
      <c r="BH39" s="235" t="s">
        <v>673</v>
      </c>
      <c r="BI39" s="241">
        <v>0</v>
      </c>
      <c r="BJ39" s="241">
        <v>0</v>
      </c>
      <c r="BK39" s="241">
        <v>0</v>
      </c>
      <c r="BL39" s="241">
        <v>0</v>
      </c>
      <c r="BM39" s="241">
        <v>0</v>
      </c>
      <c r="BN39" s="241"/>
      <c r="BO39" s="235"/>
      <c r="BP39" s="235"/>
      <c r="BQ39" s="235"/>
      <c r="BR39" s="235"/>
      <c r="BS39" s="233"/>
      <c r="BT39" s="233"/>
      <c r="BU39" s="233"/>
      <c r="BV39" s="233"/>
      <c r="BW39" s="233"/>
      <c r="BX39" s="233"/>
      <c r="BY39" s="233"/>
      <c r="BZ39" s="233"/>
      <c r="CA39" s="233"/>
      <c r="CB39" s="233"/>
      <c r="CC39" s="233"/>
      <c r="CD39" s="233"/>
      <c r="CE39" s="233"/>
      <c r="CF39" s="233"/>
      <c r="CG39" s="233"/>
      <c r="CH39" s="233"/>
      <c r="CI39" s="233"/>
      <c r="CJ39" s="233"/>
      <c r="CK39" s="233"/>
      <c r="CL39" s="233"/>
      <c r="CM39" s="233"/>
      <c r="CN39" s="233"/>
      <c r="CO39" s="233"/>
      <c r="CP39" s="233"/>
      <c r="CQ39" s="233"/>
      <c r="CR39" s="233"/>
      <c r="CS39" s="235"/>
      <c r="CT39" s="235"/>
      <c r="CU39" s="235"/>
      <c r="CV39" s="235"/>
      <c r="CW39" s="235"/>
      <c r="CX39" s="235"/>
      <c r="CY39" s="235"/>
      <c r="CZ39" s="235"/>
      <c r="DA39" s="235"/>
      <c r="DB39" s="235"/>
      <c r="DC39" s="235"/>
      <c r="DD39" s="235"/>
    </row>
    <row r="40" spans="1:108" x14ac:dyDescent="0.25">
      <c r="A40" s="144"/>
      <c r="B40" s="181" t="s">
        <v>291</v>
      </c>
      <c r="C40" s="184">
        <v>39381</v>
      </c>
      <c r="D40" s="181">
        <v>31088.74</v>
      </c>
      <c r="E40" s="211">
        <v>1</v>
      </c>
      <c r="F40" s="202"/>
      <c r="G40" s="211" t="s">
        <v>68</v>
      </c>
      <c r="H40" s="211">
        <v>89014.914157480001</v>
      </c>
      <c r="I40" s="158"/>
      <c r="J40" s="152"/>
      <c r="K40" s="216"/>
      <c r="L40" s="216"/>
      <c r="M40" s="216"/>
      <c r="O40" s="229" t="s">
        <v>68</v>
      </c>
      <c r="P40" s="229">
        <v>85112.68900626</v>
      </c>
      <c r="Q40" s="227"/>
      <c r="R40" s="152"/>
      <c r="S40" s="241"/>
      <c r="T40" s="246"/>
      <c r="U40" s="246"/>
      <c r="V40" s="246"/>
      <c r="W40" s="246"/>
      <c r="X40" s="246"/>
      <c r="Y40" s="233"/>
      <c r="Z40" s="241" t="s">
        <v>672</v>
      </c>
      <c r="AA40" s="241">
        <v>52289325.729999997</v>
      </c>
      <c r="AB40" s="241">
        <v>4372</v>
      </c>
      <c r="AC40" s="241">
        <v>430</v>
      </c>
      <c r="AD40" s="241">
        <v>357685</v>
      </c>
      <c r="AE40" s="241">
        <v>0</v>
      </c>
      <c r="AF40" s="241"/>
      <c r="AG40" s="241" t="s">
        <v>636</v>
      </c>
      <c r="AH40" s="241">
        <v>6559460</v>
      </c>
      <c r="AI40" s="241">
        <v>93</v>
      </c>
      <c r="AJ40" s="241">
        <v>10</v>
      </c>
      <c r="AK40" s="241">
        <v>1373</v>
      </c>
      <c r="AL40" s="241">
        <v>1</v>
      </c>
      <c r="AM40" s="233"/>
      <c r="AN40" s="241" t="s">
        <v>672</v>
      </c>
      <c r="AO40" s="241">
        <v>51026719.560000002</v>
      </c>
      <c r="AP40" s="241">
        <v>5852</v>
      </c>
      <c r="AQ40" s="241">
        <v>467</v>
      </c>
      <c r="AR40" s="241">
        <v>397293</v>
      </c>
      <c r="AS40" s="241">
        <v>0</v>
      </c>
      <c r="AT40" s="233"/>
      <c r="AU40" s="241" t="s">
        <v>672</v>
      </c>
      <c r="AV40" s="241">
        <v>2902330.06</v>
      </c>
      <c r="AW40" s="241">
        <v>190</v>
      </c>
      <c r="AX40" s="241">
        <v>52</v>
      </c>
      <c r="AY40" s="241">
        <v>18789</v>
      </c>
      <c r="AZ40" s="241">
        <v>0</v>
      </c>
      <c r="BA40" s="233"/>
      <c r="BB40" s="241" t="s">
        <v>672</v>
      </c>
      <c r="BC40" s="241">
        <v>108589617.48</v>
      </c>
      <c r="BD40" s="241">
        <v>8562</v>
      </c>
      <c r="BE40" s="241">
        <v>332</v>
      </c>
      <c r="BF40" s="241">
        <v>418819</v>
      </c>
      <c r="BG40" s="241">
        <v>0</v>
      </c>
      <c r="BH40" s="235" t="s">
        <v>634</v>
      </c>
      <c r="BI40" s="241">
        <v>951447921.36500001</v>
      </c>
      <c r="BJ40" s="241">
        <v>3877</v>
      </c>
      <c r="BK40" s="241">
        <v>463</v>
      </c>
      <c r="BL40" s="241">
        <v>17353</v>
      </c>
      <c r="BM40" s="241">
        <v>1</v>
      </c>
      <c r="BN40" s="241"/>
      <c r="BO40" s="244" t="s">
        <v>441</v>
      </c>
      <c r="BP40" s="252" t="s">
        <v>523</v>
      </c>
      <c r="BQ40" s="252" t="s">
        <v>630</v>
      </c>
      <c r="BR40" s="252" t="s">
        <v>631</v>
      </c>
      <c r="BS40" s="233"/>
      <c r="BT40" s="233"/>
      <c r="BU40" s="233"/>
      <c r="BV40" s="233"/>
      <c r="BW40" s="233"/>
      <c r="BX40" s="233"/>
      <c r="BY40" s="233"/>
      <c r="BZ40" s="233"/>
      <c r="CA40" s="233"/>
      <c r="CB40" s="233"/>
      <c r="CC40" s="233"/>
      <c r="CD40" s="233"/>
      <c r="CE40" s="233"/>
      <c r="CF40" s="233"/>
      <c r="CG40" s="233"/>
      <c r="CH40" s="233"/>
      <c r="CI40" s="233"/>
      <c r="CJ40" s="233"/>
      <c r="CK40" s="233"/>
      <c r="CL40" s="233"/>
      <c r="CM40" s="233"/>
      <c r="CN40" s="233"/>
      <c r="CO40" s="233"/>
      <c r="CP40" s="233"/>
      <c r="CQ40" s="233"/>
      <c r="CR40" s="233"/>
      <c r="CS40" s="235"/>
      <c r="CT40" s="235"/>
      <c r="CU40" s="235"/>
      <c r="CV40" s="235"/>
      <c r="CW40" s="235"/>
      <c r="CX40" s="235"/>
      <c r="CY40" s="235"/>
      <c r="CZ40" s="235"/>
      <c r="DA40" s="235"/>
      <c r="DB40" s="235"/>
      <c r="DC40" s="235"/>
      <c r="DD40" s="235"/>
    </row>
    <row r="41" spans="1:108" x14ac:dyDescent="0.25">
      <c r="B41" s="181" t="s">
        <v>76</v>
      </c>
      <c r="C41" s="184">
        <v>39381</v>
      </c>
      <c r="D41" s="181">
        <v>35813.949999999997</v>
      </c>
      <c r="E41" s="211">
        <v>1</v>
      </c>
      <c r="F41" s="202"/>
      <c r="G41" s="211" t="s">
        <v>105</v>
      </c>
      <c r="H41" s="211">
        <v>1263.04014512</v>
      </c>
      <c r="I41" s="158"/>
      <c r="J41" s="152"/>
      <c r="K41" s="216"/>
      <c r="L41" s="216"/>
      <c r="M41" s="216"/>
      <c r="O41" s="229" t="s">
        <v>105</v>
      </c>
      <c r="P41" s="229">
        <v>1332.7873332300001</v>
      </c>
      <c r="Q41" s="227"/>
      <c r="R41" s="152"/>
      <c r="S41" s="241"/>
      <c r="T41" s="246"/>
      <c r="U41" s="246"/>
      <c r="V41" s="246"/>
      <c r="W41" s="246"/>
      <c r="X41" s="246"/>
      <c r="Y41" s="233"/>
      <c r="Z41" s="241" t="s">
        <v>673</v>
      </c>
      <c r="AA41" s="241">
        <v>0</v>
      </c>
      <c r="AB41" s="241">
        <v>0</v>
      </c>
      <c r="AC41" s="241">
        <v>0</v>
      </c>
      <c r="AD41" s="241">
        <v>0</v>
      </c>
      <c r="AE41" s="241">
        <v>0</v>
      </c>
      <c r="AF41" s="241"/>
      <c r="AG41" s="241" t="s">
        <v>637</v>
      </c>
      <c r="AH41" s="241">
        <v>0</v>
      </c>
      <c r="AI41" s="241">
        <v>0</v>
      </c>
      <c r="AJ41" s="241">
        <v>0</v>
      </c>
      <c r="AK41" s="241">
        <v>20</v>
      </c>
      <c r="AL41" s="241">
        <v>1</v>
      </c>
      <c r="AM41" s="233"/>
      <c r="AN41" s="241" t="s">
        <v>673</v>
      </c>
      <c r="AO41" s="241">
        <v>0</v>
      </c>
      <c r="AP41" s="241">
        <v>0</v>
      </c>
      <c r="AQ41" s="241">
        <v>0</v>
      </c>
      <c r="AR41" s="241">
        <v>0</v>
      </c>
      <c r="AS41" s="241">
        <v>0</v>
      </c>
      <c r="AT41" s="233"/>
      <c r="AU41" s="241" t="s">
        <v>673</v>
      </c>
      <c r="AV41" s="241">
        <v>0</v>
      </c>
      <c r="AW41" s="241">
        <v>0</v>
      </c>
      <c r="AX41" s="241">
        <v>0</v>
      </c>
      <c r="AY41" s="241">
        <v>0</v>
      </c>
      <c r="AZ41" s="241">
        <v>0</v>
      </c>
      <c r="BA41" s="233"/>
      <c r="BB41" s="241" t="s">
        <v>673</v>
      </c>
      <c r="BC41" s="241">
        <v>0</v>
      </c>
      <c r="BD41" s="241">
        <v>0</v>
      </c>
      <c r="BE41" s="241">
        <v>0</v>
      </c>
      <c r="BF41" s="241">
        <v>0</v>
      </c>
      <c r="BG41" s="241">
        <v>0</v>
      </c>
      <c r="BH41" s="235" t="s">
        <v>635</v>
      </c>
      <c r="BI41" s="241">
        <v>952760.03</v>
      </c>
      <c r="BJ41" s="241">
        <v>13</v>
      </c>
      <c r="BK41" s="241">
        <v>3</v>
      </c>
      <c r="BL41" s="241">
        <v>32</v>
      </c>
      <c r="BM41" s="241">
        <v>1</v>
      </c>
      <c r="BN41" s="241"/>
      <c r="BO41" s="233"/>
      <c r="BP41" s="251">
        <v>1426858067.95</v>
      </c>
      <c r="BQ41" s="251">
        <v>727009</v>
      </c>
      <c r="BR41" s="251">
        <v>1680</v>
      </c>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5"/>
      <c r="CT41" s="235"/>
      <c r="CU41" s="235"/>
      <c r="CV41" s="235"/>
      <c r="CW41" s="235"/>
      <c r="CX41" s="235"/>
      <c r="CY41" s="235"/>
      <c r="CZ41" s="235"/>
      <c r="DA41" s="235"/>
      <c r="DB41" s="235"/>
      <c r="DC41" s="235"/>
      <c r="DD41" s="235"/>
    </row>
    <row r="42" spans="1:108" x14ac:dyDescent="0.25">
      <c r="B42" s="181" t="s">
        <v>82</v>
      </c>
      <c r="C42" s="184">
        <v>39381</v>
      </c>
      <c r="D42" s="181">
        <v>65291.38</v>
      </c>
      <c r="E42" s="211">
        <v>1</v>
      </c>
      <c r="F42" s="202"/>
      <c r="G42" s="211" t="s">
        <v>256</v>
      </c>
      <c r="H42" s="211">
        <v>830.17612537000002</v>
      </c>
      <c r="I42" s="158"/>
      <c r="J42" s="152"/>
      <c r="K42" s="216"/>
      <c r="L42" s="216"/>
      <c r="M42" s="216"/>
      <c r="O42" s="229" t="s">
        <v>256</v>
      </c>
      <c r="P42" s="229">
        <v>842.88075773000003</v>
      </c>
      <c r="Q42" s="227"/>
      <c r="R42" s="152"/>
      <c r="S42" s="241"/>
      <c r="T42" s="246"/>
      <c r="U42" s="246"/>
      <c r="V42" s="246"/>
      <c r="W42" s="246"/>
      <c r="X42" s="246"/>
      <c r="Y42" s="233"/>
      <c r="Z42" s="241" t="s">
        <v>634</v>
      </c>
      <c r="AA42" s="241">
        <v>25204554702.52</v>
      </c>
      <c r="AB42" s="241">
        <v>83005</v>
      </c>
      <c r="AC42" s="241">
        <v>5854</v>
      </c>
      <c r="AD42" s="241">
        <v>398447</v>
      </c>
      <c r="AE42" s="241">
        <v>1</v>
      </c>
      <c r="AF42" s="241"/>
      <c r="AG42" s="241" t="s">
        <v>638</v>
      </c>
      <c r="AH42" s="241">
        <v>0</v>
      </c>
      <c r="AI42" s="241">
        <v>0</v>
      </c>
      <c r="AJ42" s="241">
        <v>0</v>
      </c>
      <c r="AK42" s="241">
        <v>0</v>
      </c>
      <c r="AL42" s="241">
        <v>1</v>
      </c>
      <c r="AM42" s="233"/>
      <c r="AN42" s="241" t="s">
        <v>634</v>
      </c>
      <c r="AO42" s="241">
        <v>10152494532.91</v>
      </c>
      <c r="AP42" s="241">
        <v>35451</v>
      </c>
      <c r="AQ42" s="241">
        <v>2857</v>
      </c>
      <c r="AR42" s="241">
        <v>339019</v>
      </c>
      <c r="AS42" s="241">
        <v>1</v>
      </c>
      <c r="AT42" s="233"/>
      <c r="AU42" s="241" t="s">
        <v>634</v>
      </c>
      <c r="AV42" s="241">
        <v>863657550.44500005</v>
      </c>
      <c r="AW42" s="241">
        <v>2902</v>
      </c>
      <c r="AX42" s="241">
        <v>202</v>
      </c>
      <c r="AY42" s="241">
        <v>17014</v>
      </c>
      <c r="AZ42" s="241">
        <v>1</v>
      </c>
      <c r="BA42" s="233"/>
      <c r="BB42" s="241" t="s">
        <v>634</v>
      </c>
      <c r="BC42" s="241">
        <v>19568547629.064999</v>
      </c>
      <c r="BD42" s="241">
        <v>78576</v>
      </c>
      <c r="BE42" s="241">
        <v>6771</v>
      </c>
      <c r="BF42" s="241">
        <v>337825</v>
      </c>
      <c r="BG42" s="241">
        <v>1</v>
      </c>
      <c r="BH42" s="235" t="s">
        <v>636</v>
      </c>
      <c r="BI42" s="241">
        <v>289260</v>
      </c>
      <c r="BJ42" s="241">
        <v>6</v>
      </c>
      <c r="BK42" s="241">
        <v>1</v>
      </c>
      <c r="BL42" s="241">
        <v>1899</v>
      </c>
      <c r="BM42" s="241">
        <v>1</v>
      </c>
      <c r="BN42" s="241"/>
      <c r="BO42" s="235"/>
      <c r="BP42" s="251"/>
      <c r="BQ42" s="251"/>
      <c r="BR42" s="251"/>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row>
    <row r="43" spans="1:108" x14ac:dyDescent="0.25">
      <c r="B43" s="181" t="s">
        <v>296</v>
      </c>
      <c r="C43" s="184">
        <v>41887</v>
      </c>
      <c r="D43" s="181">
        <v>417.67220522999997</v>
      </c>
      <c r="E43" s="211">
        <v>1</v>
      </c>
      <c r="F43" s="202"/>
      <c r="G43" s="211" t="s">
        <v>262</v>
      </c>
      <c r="H43" s="211">
        <v>8714.0752094599993</v>
      </c>
      <c r="I43" s="158"/>
      <c r="J43" s="152"/>
      <c r="K43" s="216"/>
      <c r="L43" s="216"/>
      <c r="M43" s="216"/>
      <c r="O43" s="229" t="s">
        <v>262</v>
      </c>
      <c r="P43" s="229">
        <v>8426.5547092800007</v>
      </c>
      <c r="Q43" s="227"/>
      <c r="S43" s="233"/>
      <c r="T43" s="233"/>
      <c r="U43" s="233"/>
      <c r="V43" s="233"/>
      <c r="W43" s="233"/>
      <c r="X43" s="233"/>
      <c r="Y43" s="233"/>
      <c r="Z43" s="241" t="s">
        <v>635</v>
      </c>
      <c r="AA43" s="241">
        <v>8645487.4600000009</v>
      </c>
      <c r="AB43" s="241">
        <v>72</v>
      </c>
      <c r="AC43" s="241">
        <v>4</v>
      </c>
      <c r="AD43" s="241">
        <v>1178</v>
      </c>
      <c r="AE43" s="241">
        <v>1</v>
      </c>
      <c r="AF43" s="241"/>
      <c r="AG43" s="241" t="s">
        <v>639</v>
      </c>
      <c r="AH43" s="241">
        <v>0</v>
      </c>
      <c r="AI43" s="241">
        <v>0</v>
      </c>
      <c r="AJ43" s="241">
        <v>0</v>
      </c>
      <c r="AK43" s="241">
        <v>64</v>
      </c>
      <c r="AL43" s="241">
        <v>1</v>
      </c>
      <c r="AM43" s="233"/>
      <c r="AN43" s="241" t="s">
        <v>635</v>
      </c>
      <c r="AO43" s="241">
        <v>9557023.8399999999</v>
      </c>
      <c r="AP43" s="241">
        <v>78</v>
      </c>
      <c r="AQ43" s="241">
        <v>3</v>
      </c>
      <c r="AR43" s="241">
        <v>1224</v>
      </c>
      <c r="AS43" s="241">
        <v>1</v>
      </c>
      <c r="AT43" s="233"/>
      <c r="AU43" s="241" t="s">
        <v>635</v>
      </c>
      <c r="AV43" s="241">
        <v>0</v>
      </c>
      <c r="AW43" s="241">
        <v>0</v>
      </c>
      <c r="AX43" s="241">
        <v>0</v>
      </c>
      <c r="AY43" s="241">
        <v>62</v>
      </c>
      <c r="AZ43" s="241">
        <v>1</v>
      </c>
      <c r="BA43" s="233"/>
      <c r="BB43" s="241" t="s">
        <v>635</v>
      </c>
      <c r="BC43" s="241">
        <v>9092784.7300000004</v>
      </c>
      <c r="BD43" s="241">
        <v>138</v>
      </c>
      <c r="BE43" s="241">
        <v>20</v>
      </c>
      <c r="BF43" s="241">
        <v>885</v>
      </c>
      <c r="BG43" s="241">
        <v>1</v>
      </c>
      <c r="BH43" s="235" t="s">
        <v>637</v>
      </c>
      <c r="BI43" s="241">
        <v>0</v>
      </c>
      <c r="BJ43" s="241">
        <v>0</v>
      </c>
      <c r="BK43" s="241">
        <v>0</v>
      </c>
      <c r="BL43" s="241">
        <v>0</v>
      </c>
      <c r="BM43" s="241">
        <v>1</v>
      </c>
      <c r="BN43" s="241"/>
      <c r="BO43" s="240" t="s">
        <v>455</v>
      </c>
      <c r="BP43" s="252" t="s">
        <v>632</v>
      </c>
      <c r="BQ43" s="251"/>
      <c r="BR43" s="251"/>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row>
    <row r="44" spans="1:108" x14ac:dyDescent="0.25">
      <c r="A44" s="35"/>
      <c r="B44" s="181" t="s">
        <v>298</v>
      </c>
      <c r="C44" s="184">
        <v>43587</v>
      </c>
      <c r="D44" s="181">
        <v>89801.649796929996</v>
      </c>
      <c r="E44" s="211">
        <v>1</v>
      </c>
      <c r="F44" s="197"/>
      <c r="G44" s="211" t="s">
        <v>263</v>
      </c>
      <c r="H44" s="211">
        <v>901.03674081999998</v>
      </c>
      <c r="I44" s="158"/>
      <c r="J44" s="152"/>
      <c r="K44" s="216"/>
      <c r="L44" s="216"/>
      <c r="M44" s="216"/>
      <c r="O44" s="229" t="s">
        <v>263</v>
      </c>
      <c r="P44" s="229">
        <v>909.29757935999999</v>
      </c>
      <c r="Q44" s="227"/>
      <c r="S44" s="233"/>
      <c r="T44" s="233"/>
      <c r="U44" s="233"/>
      <c r="V44" s="233"/>
      <c r="W44" s="233"/>
      <c r="X44" s="233"/>
      <c r="Y44" s="233"/>
      <c r="Z44" s="241" t="s">
        <v>636</v>
      </c>
      <c r="AA44" s="241">
        <v>205350745.59999999</v>
      </c>
      <c r="AB44" s="241">
        <v>2571</v>
      </c>
      <c r="AC44" s="241">
        <v>58</v>
      </c>
      <c r="AD44" s="241">
        <v>17802</v>
      </c>
      <c r="AE44" s="241">
        <v>1</v>
      </c>
      <c r="AF44" s="241"/>
      <c r="AG44" s="241" t="s">
        <v>640</v>
      </c>
      <c r="AH44" s="241">
        <v>0</v>
      </c>
      <c r="AI44" s="241">
        <v>0</v>
      </c>
      <c r="AJ44" s="241">
        <v>0</v>
      </c>
      <c r="AK44" s="241">
        <v>3</v>
      </c>
      <c r="AL44" s="241">
        <v>1</v>
      </c>
      <c r="AM44" s="233"/>
      <c r="AN44" s="241" t="s">
        <v>636</v>
      </c>
      <c r="AO44" s="241">
        <v>114733169.90000001</v>
      </c>
      <c r="AP44" s="241">
        <v>1403</v>
      </c>
      <c r="AQ44" s="241">
        <v>48</v>
      </c>
      <c r="AR44" s="241">
        <v>19211</v>
      </c>
      <c r="AS44" s="241">
        <v>1</v>
      </c>
      <c r="AT44" s="233"/>
      <c r="AU44" s="241" t="s">
        <v>636</v>
      </c>
      <c r="AV44" s="241">
        <v>8400000</v>
      </c>
      <c r="AW44" s="241">
        <v>100</v>
      </c>
      <c r="AX44" s="241">
        <v>1</v>
      </c>
      <c r="AY44" s="241">
        <v>793</v>
      </c>
      <c r="AZ44" s="241">
        <v>1</v>
      </c>
      <c r="BA44" s="233"/>
      <c r="BB44" s="241" t="s">
        <v>636</v>
      </c>
      <c r="BC44" s="241">
        <v>38394257.299999997</v>
      </c>
      <c r="BD44" s="241">
        <v>902</v>
      </c>
      <c r="BE44" s="241">
        <v>71</v>
      </c>
      <c r="BF44" s="241">
        <v>41634</v>
      </c>
      <c r="BG44" s="241">
        <v>1</v>
      </c>
      <c r="BH44" s="235" t="s">
        <v>638</v>
      </c>
      <c r="BI44" s="241">
        <v>0</v>
      </c>
      <c r="BJ44" s="241">
        <v>0</v>
      </c>
      <c r="BK44" s="241">
        <v>0</v>
      </c>
      <c r="BL44" s="241">
        <v>31</v>
      </c>
      <c r="BM44" s="241">
        <v>1</v>
      </c>
      <c r="BN44" s="241"/>
      <c r="BO44" s="235"/>
      <c r="BP44" s="251">
        <v>994209</v>
      </c>
      <c r="BQ44" s="251"/>
      <c r="BR44" s="251"/>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row>
    <row r="45" spans="1:108" x14ac:dyDescent="0.25">
      <c r="B45" s="181" t="s">
        <v>541</v>
      </c>
      <c r="C45" s="184">
        <v>44516</v>
      </c>
      <c r="D45" s="181">
        <v>18996.197564630002</v>
      </c>
      <c r="E45" s="211">
        <v>1</v>
      </c>
      <c r="F45" s="198"/>
      <c r="G45" s="211" t="s">
        <v>90</v>
      </c>
      <c r="H45" s="211">
        <v>323.43762247000001</v>
      </c>
      <c r="I45" s="158"/>
      <c r="J45" s="152"/>
      <c r="K45" s="216"/>
      <c r="L45" s="216"/>
      <c r="M45" s="216"/>
      <c r="O45" s="229" t="s">
        <v>90</v>
      </c>
      <c r="P45" s="229">
        <v>316.76050423999999</v>
      </c>
      <c r="Q45" s="227"/>
      <c r="S45" s="242"/>
      <c r="T45" s="245"/>
      <c r="U45" s="245"/>
      <c r="V45" s="245"/>
      <c r="W45" s="245"/>
      <c r="X45" s="245"/>
      <c r="Y45" s="233"/>
      <c r="Z45" s="241" t="s">
        <v>637</v>
      </c>
      <c r="AA45" s="241">
        <v>877350</v>
      </c>
      <c r="AB45" s="241">
        <v>35</v>
      </c>
      <c r="AC45" s="241">
        <v>2</v>
      </c>
      <c r="AD45" s="241">
        <v>365</v>
      </c>
      <c r="AE45" s="241">
        <v>1</v>
      </c>
      <c r="AF45" s="241"/>
      <c r="AG45" s="241" t="s">
        <v>641</v>
      </c>
      <c r="AH45" s="241">
        <v>193138235.97999999</v>
      </c>
      <c r="AI45" s="241">
        <v>520</v>
      </c>
      <c r="AJ45" s="241">
        <v>57</v>
      </c>
      <c r="AK45" s="241">
        <v>21762</v>
      </c>
      <c r="AL45" s="241">
        <v>1</v>
      </c>
      <c r="AM45" s="233"/>
      <c r="AN45" s="241" t="s">
        <v>637</v>
      </c>
      <c r="AO45" s="241">
        <v>0</v>
      </c>
      <c r="AP45" s="241">
        <v>0</v>
      </c>
      <c r="AQ45" s="241">
        <v>0</v>
      </c>
      <c r="AR45" s="241">
        <v>315</v>
      </c>
      <c r="AS45" s="241">
        <v>1</v>
      </c>
      <c r="AT45" s="233"/>
      <c r="AU45" s="241" t="s">
        <v>637</v>
      </c>
      <c r="AV45" s="241">
        <v>0</v>
      </c>
      <c r="AW45" s="241">
        <v>0</v>
      </c>
      <c r="AX45" s="241">
        <v>0</v>
      </c>
      <c r="AY45" s="241">
        <v>15</v>
      </c>
      <c r="AZ45" s="241">
        <v>1</v>
      </c>
      <c r="BA45" s="233"/>
      <c r="BB45" s="241" t="s">
        <v>637</v>
      </c>
      <c r="BC45" s="241">
        <v>0</v>
      </c>
      <c r="BD45" s="241">
        <v>0</v>
      </c>
      <c r="BE45" s="241">
        <v>0</v>
      </c>
      <c r="BF45" s="241">
        <v>0</v>
      </c>
      <c r="BG45" s="241">
        <v>1</v>
      </c>
      <c r="BH45" s="235" t="s">
        <v>639</v>
      </c>
      <c r="BI45" s="241">
        <v>0</v>
      </c>
      <c r="BJ45" s="241">
        <v>0</v>
      </c>
      <c r="BK45" s="241">
        <v>0</v>
      </c>
      <c r="BL45" s="241">
        <v>94</v>
      </c>
      <c r="BM45" s="241">
        <v>1</v>
      </c>
      <c r="BN45" s="241"/>
      <c r="BO45" s="235"/>
      <c r="BP45" s="251"/>
      <c r="BQ45" s="251"/>
      <c r="BR45" s="251"/>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3"/>
    </row>
    <row r="46" spans="1:108" x14ac:dyDescent="0.25">
      <c r="B46" s="181" t="s">
        <v>542</v>
      </c>
      <c r="C46" s="184">
        <v>44516</v>
      </c>
      <c r="D46" s="181">
        <v>20237.994408629998</v>
      </c>
      <c r="E46" s="211">
        <v>1</v>
      </c>
      <c r="F46" s="204"/>
      <c r="G46" s="211" t="s">
        <v>92</v>
      </c>
      <c r="H46" s="211">
        <v>241.04257608</v>
      </c>
      <c r="I46" s="158"/>
      <c r="J46" s="152"/>
      <c r="K46" s="216"/>
      <c r="L46" s="216"/>
      <c r="M46" s="216"/>
      <c r="O46" s="229" t="s">
        <v>92</v>
      </c>
      <c r="P46" s="229">
        <v>235.99076995999999</v>
      </c>
      <c r="Q46" s="227"/>
      <c r="S46" s="241"/>
      <c r="T46" s="246"/>
      <c r="U46" s="246"/>
      <c r="V46" s="246"/>
      <c r="W46" s="246"/>
      <c r="X46" s="246"/>
      <c r="Y46" s="233"/>
      <c r="Z46" s="241" t="s">
        <v>638</v>
      </c>
      <c r="AA46" s="241">
        <v>3230475</v>
      </c>
      <c r="AB46" s="241">
        <v>39</v>
      </c>
      <c r="AC46" s="241">
        <v>16</v>
      </c>
      <c r="AD46" s="241">
        <v>157</v>
      </c>
      <c r="AE46" s="241">
        <v>1</v>
      </c>
      <c r="AF46" s="241"/>
      <c r="AG46" s="241" t="s">
        <v>642</v>
      </c>
      <c r="AH46" s="241">
        <v>10981593.800000001</v>
      </c>
      <c r="AI46" s="241">
        <v>385</v>
      </c>
      <c r="AJ46" s="241">
        <v>8</v>
      </c>
      <c r="AK46" s="241">
        <v>424</v>
      </c>
      <c r="AL46" s="241">
        <v>1</v>
      </c>
      <c r="AM46" s="233"/>
      <c r="AN46" s="241" t="s">
        <v>638</v>
      </c>
      <c r="AO46" s="241">
        <v>2804661</v>
      </c>
      <c r="AP46" s="241">
        <v>36</v>
      </c>
      <c r="AQ46" s="241">
        <v>14</v>
      </c>
      <c r="AR46" s="241">
        <v>306</v>
      </c>
      <c r="AS46" s="241">
        <v>1</v>
      </c>
      <c r="AT46" s="233"/>
      <c r="AU46" s="241" t="s">
        <v>638</v>
      </c>
      <c r="AV46" s="241">
        <v>0</v>
      </c>
      <c r="AW46" s="241">
        <v>0</v>
      </c>
      <c r="AX46" s="241">
        <v>0</v>
      </c>
      <c r="AY46" s="241">
        <v>20</v>
      </c>
      <c r="AZ46" s="241">
        <v>1</v>
      </c>
      <c r="BA46" s="233"/>
      <c r="BB46" s="241" t="s">
        <v>638</v>
      </c>
      <c r="BC46" s="241">
        <v>3097125</v>
      </c>
      <c r="BD46" s="241">
        <v>72</v>
      </c>
      <c r="BE46" s="241">
        <v>14</v>
      </c>
      <c r="BF46" s="241">
        <v>574</v>
      </c>
      <c r="BG46" s="241">
        <v>1</v>
      </c>
      <c r="BH46" s="235" t="s">
        <v>640</v>
      </c>
      <c r="BI46" s="241">
        <v>0</v>
      </c>
      <c r="BJ46" s="241">
        <v>0</v>
      </c>
      <c r="BK46" s="241">
        <v>0</v>
      </c>
      <c r="BL46" s="241">
        <v>0</v>
      </c>
      <c r="BM46" s="241">
        <v>1</v>
      </c>
      <c r="BN46" s="241"/>
      <c r="BO46" s="248" t="s">
        <v>456</v>
      </c>
      <c r="BP46" s="252" t="s">
        <v>632</v>
      </c>
      <c r="BQ46" s="251"/>
      <c r="BR46" s="251"/>
      <c r="BS46" s="233"/>
      <c r="BT46" s="233"/>
      <c r="BU46" s="233"/>
      <c r="BV46" s="233"/>
      <c r="BW46" s="233"/>
      <c r="BX46" s="233"/>
      <c r="BY46" s="233"/>
      <c r="BZ46" s="233"/>
      <c r="CA46" s="233"/>
      <c r="CB46" s="233"/>
      <c r="CC46" s="233"/>
      <c r="CD46" s="233"/>
      <c r="CE46" s="233"/>
      <c r="CF46" s="233"/>
      <c r="CG46" s="233"/>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row>
    <row r="47" spans="1:108" x14ac:dyDescent="0.25">
      <c r="B47" s="181" t="s">
        <v>314</v>
      </c>
      <c r="C47" s="184">
        <v>41065</v>
      </c>
      <c r="D47" s="181">
        <v>1120.92</v>
      </c>
      <c r="E47" s="211">
        <v>1</v>
      </c>
      <c r="F47" s="205"/>
      <c r="G47" s="211" t="s">
        <v>266</v>
      </c>
      <c r="H47" s="211">
        <v>100223.82959772</v>
      </c>
      <c r="I47" s="158"/>
      <c r="J47" s="154"/>
      <c r="K47" s="216"/>
      <c r="L47" s="216"/>
      <c r="M47" s="216"/>
      <c r="O47" s="229" t="s">
        <v>266</v>
      </c>
      <c r="P47" s="229">
        <v>94805.397993520004</v>
      </c>
      <c r="Q47" s="227"/>
      <c r="S47" s="241"/>
      <c r="T47" s="246"/>
      <c r="U47" s="246"/>
      <c r="V47" s="246"/>
      <c r="W47" s="246"/>
      <c r="X47" s="246"/>
      <c r="Y47" s="233"/>
      <c r="Z47" s="241" t="s">
        <v>639</v>
      </c>
      <c r="AA47" s="241">
        <v>15427625</v>
      </c>
      <c r="AB47" s="241">
        <v>93</v>
      </c>
      <c r="AC47" s="241">
        <v>4</v>
      </c>
      <c r="AD47" s="241">
        <v>1239</v>
      </c>
      <c r="AE47" s="241">
        <v>1</v>
      </c>
      <c r="AF47" s="241"/>
      <c r="AG47" s="241" t="s">
        <v>643</v>
      </c>
      <c r="AH47" s="241">
        <v>0</v>
      </c>
      <c r="AI47" s="241">
        <v>0</v>
      </c>
      <c r="AJ47" s="241">
        <v>0</v>
      </c>
      <c r="AK47" s="241">
        <v>0</v>
      </c>
      <c r="AL47" s="241">
        <v>1</v>
      </c>
      <c r="AM47" s="233"/>
      <c r="AN47" s="241" t="s">
        <v>639</v>
      </c>
      <c r="AO47" s="241">
        <v>327500</v>
      </c>
      <c r="AP47" s="241">
        <v>2</v>
      </c>
      <c r="AQ47" s="241">
        <v>2</v>
      </c>
      <c r="AR47" s="241">
        <v>875</v>
      </c>
      <c r="AS47" s="241">
        <v>1</v>
      </c>
      <c r="AT47" s="233"/>
      <c r="AU47" s="241" t="s">
        <v>639</v>
      </c>
      <c r="AV47" s="241">
        <v>0</v>
      </c>
      <c r="AW47" s="241">
        <v>0</v>
      </c>
      <c r="AX47" s="241">
        <v>0</v>
      </c>
      <c r="AY47" s="241">
        <v>42</v>
      </c>
      <c r="AZ47" s="241">
        <v>1</v>
      </c>
      <c r="BA47" s="233"/>
      <c r="BB47" s="241" t="s">
        <v>639</v>
      </c>
      <c r="BC47" s="241">
        <v>23670000</v>
      </c>
      <c r="BD47" s="241">
        <v>190</v>
      </c>
      <c r="BE47" s="241">
        <v>2</v>
      </c>
      <c r="BF47" s="241">
        <v>2004</v>
      </c>
      <c r="BG47" s="241">
        <v>1</v>
      </c>
      <c r="BH47" s="235" t="s">
        <v>641</v>
      </c>
      <c r="BI47" s="241">
        <v>83894609.280000001</v>
      </c>
      <c r="BJ47" s="241">
        <v>315</v>
      </c>
      <c r="BK47" s="241">
        <v>45</v>
      </c>
      <c r="BL47" s="241">
        <v>26220</v>
      </c>
      <c r="BM47" s="241">
        <v>1</v>
      </c>
      <c r="BN47" s="241"/>
      <c r="BO47" s="235"/>
      <c r="BP47" s="251">
        <v>122370</v>
      </c>
      <c r="BQ47" s="251"/>
      <c r="BR47" s="251"/>
      <c r="BS47" s="233"/>
      <c r="BT47" s="233"/>
      <c r="BU47" s="233"/>
      <c r="BV47" s="233"/>
      <c r="BW47" s="233"/>
      <c r="BX47" s="233"/>
      <c r="BY47" s="233"/>
      <c r="BZ47" s="233"/>
      <c r="CA47" s="233"/>
      <c r="CB47" s="233"/>
      <c r="CC47" s="233"/>
      <c r="CD47" s="233"/>
      <c r="CE47" s="233"/>
      <c r="CF47" s="233"/>
      <c r="CG47" s="233"/>
      <c r="CH47" s="233"/>
      <c r="CI47" s="233"/>
      <c r="CJ47" s="233"/>
      <c r="CK47" s="233"/>
      <c r="CL47" s="233"/>
      <c r="CM47" s="233"/>
      <c r="CN47" s="233"/>
      <c r="CO47" s="233"/>
      <c r="CP47" s="233"/>
      <c r="CQ47" s="233"/>
      <c r="CR47" s="233"/>
      <c r="CS47" s="233"/>
      <c r="CT47" s="233"/>
      <c r="CU47" s="233"/>
      <c r="CV47" s="233"/>
      <c r="CW47" s="233"/>
      <c r="CX47" s="233"/>
      <c r="CY47" s="233"/>
      <c r="CZ47" s="233"/>
      <c r="DA47" s="233"/>
      <c r="DB47" s="233"/>
      <c r="DC47" s="233"/>
      <c r="DD47" s="233"/>
    </row>
    <row r="48" spans="1:108" x14ac:dyDescent="0.25">
      <c r="B48" s="181" t="s">
        <v>324</v>
      </c>
      <c r="C48" s="184">
        <v>43126</v>
      </c>
      <c r="D48" s="181">
        <v>25359.33</v>
      </c>
      <c r="E48" s="211">
        <v>1</v>
      </c>
      <c r="F48" s="205"/>
      <c r="G48" s="211" t="s">
        <v>94</v>
      </c>
      <c r="H48" s="211">
        <v>38643.709525290004</v>
      </c>
      <c r="I48" s="158"/>
      <c r="J48" s="154"/>
      <c r="K48" s="216"/>
      <c r="L48" s="216"/>
      <c r="M48" s="216"/>
      <c r="O48" s="229" t="s">
        <v>94</v>
      </c>
      <c r="P48" s="229">
        <v>36275.57973782</v>
      </c>
      <c r="Q48" s="227"/>
      <c r="S48" s="241"/>
      <c r="T48" s="246"/>
      <c r="U48" s="246"/>
      <c r="V48" s="246"/>
      <c r="W48" s="246"/>
      <c r="X48" s="246"/>
      <c r="Y48" s="233"/>
      <c r="Z48" s="241" t="s">
        <v>640</v>
      </c>
      <c r="AA48" s="241">
        <v>3046250</v>
      </c>
      <c r="AB48" s="241">
        <v>28</v>
      </c>
      <c r="AC48" s="241">
        <v>6</v>
      </c>
      <c r="AD48" s="241">
        <v>147</v>
      </c>
      <c r="AE48" s="241">
        <v>1</v>
      </c>
      <c r="AF48" s="241"/>
      <c r="AG48" s="241" t="s">
        <v>644</v>
      </c>
      <c r="AH48" s="241">
        <v>0</v>
      </c>
      <c r="AI48" s="241">
        <v>0</v>
      </c>
      <c r="AJ48" s="241">
        <v>0</v>
      </c>
      <c r="AK48" s="241">
        <v>3</v>
      </c>
      <c r="AL48" s="241">
        <v>1</v>
      </c>
      <c r="AM48" s="233"/>
      <c r="AN48" s="241" t="s">
        <v>640</v>
      </c>
      <c r="AO48" s="241">
        <v>2866065</v>
      </c>
      <c r="AP48" s="241">
        <v>25</v>
      </c>
      <c r="AQ48" s="241">
        <v>2</v>
      </c>
      <c r="AR48" s="241">
        <v>390</v>
      </c>
      <c r="AS48" s="241">
        <v>1</v>
      </c>
      <c r="AT48" s="233"/>
      <c r="AU48" s="241" t="s">
        <v>640</v>
      </c>
      <c r="AV48" s="241">
        <v>0</v>
      </c>
      <c r="AW48" s="241">
        <v>0</v>
      </c>
      <c r="AX48" s="241">
        <v>0</v>
      </c>
      <c r="AY48" s="241">
        <v>10</v>
      </c>
      <c r="AZ48" s="241">
        <v>1</v>
      </c>
      <c r="BA48" s="233"/>
      <c r="BB48" s="241" t="s">
        <v>640</v>
      </c>
      <c r="BC48" s="241">
        <v>0</v>
      </c>
      <c r="BD48" s="241">
        <v>0</v>
      </c>
      <c r="BE48" s="241">
        <v>0</v>
      </c>
      <c r="BF48" s="241">
        <v>0</v>
      </c>
      <c r="BG48" s="241">
        <v>1</v>
      </c>
      <c r="BH48" s="235" t="s">
        <v>642</v>
      </c>
      <c r="BI48" s="241">
        <v>39446950</v>
      </c>
      <c r="BJ48" s="241">
        <v>1822</v>
      </c>
      <c r="BK48" s="241">
        <v>2</v>
      </c>
      <c r="BL48" s="241">
        <v>552</v>
      </c>
      <c r="BM48" s="241">
        <v>1</v>
      </c>
      <c r="BN48" s="241"/>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row>
    <row r="49" spans="1:70" x14ac:dyDescent="0.25">
      <c r="B49" s="181" t="s">
        <v>325</v>
      </c>
      <c r="C49" s="184">
        <v>41904</v>
      </c>
      <c r="D49" s="181">
        <v>4598.12</v>
      </c>
      <c r="E49" s="211">
        <v>1</v>
      </c>
      <c r="F49" s="205"/>
      <c r="G49" s="211" t="s">
        <v>267</v>
      </c>
      <c r="H49" s="211">
        <v>290.27990342999999</v>
      </c>
      <c r="I49" s="158"/>
      <c r="J49" s="154"/>
      <c r="K49" s="216"/>
      <c r="L49" s="216"/>
      <c r="M49" s="216"/>
      <c r="O49" s="229" t="s">
        <v>267</v>
      </c>
      <c r="P49" s="229">
        <v>283.49382119000001</v>
      </c>
      <c r="Q49" s="227"/>
      <c r="S49" s="241"/>
      <c r="T49" s="246"/>
      <c r="U49" s="246"/>
      <c r="V49" s="246"/>
      <c r="W49" s="246"/>
      <c r="X49" s="246"/>
      <c r="Y49" s="233"/>
      <c r="Z49" s="241" t="s">
        <v>641</v>
      </c>
      <c r="AA49" s="241">
        <v>17013228578.16</v>
      </c>
      <c r="AB49" s="241">
        <v>48603</v>
      </c>
      <c r="AC49" s="241">
        <v>3654</v>
      </c>
      <c r="AD49" s="241">
        <v>459111</v>
      </c>
      <c r="AE49" s="241">
        <v>1</v>
      </c>
      <c r="AF49" s="241"/>
      <c r="AG49" s="241" t="s">
        <v>645</v>
      </c>
      <c r="AH49" s="241">
        <v>0</v>
      </c>
      <c r="AI49" s="241">
        <v>0</v>
      </c>
      <c r="AJ49" s="241">
        <v>0</v>
      </c>
      <c r="AK49" s="241">
        <v>400</v>
      </c>
      <c r="AL49" s="241">
        <v>1</v>
      </c>
      <c r="AM49" s="233"/>
      <c r="AN49" s="241" t="s">
        <v>641</v>
      </c>
      <c r="AO49" s="241">
        <v>7179172334.8000002</v>
      </c>
      <c r="AP49" s="241">
        <v>22298</v>
      </c>
      <c r="AQ49" s="241">
        <v>1359</v>
      </c>
      <c r="AR49" s="241">
        <v>491979</v>
      </c>
      <c r="AS49" s="241">
        <v>1</v>
      </c>
      <c r="AT49" s="233"/>
      <c r="AU49" s="241" t="s">
        <v>641</v>
      </c>
      <c r="AV49" s="241">
        <v>720145993.53999996</v>
      </c>
      <c r="AW49" s="241">
        <v>2074</v>
      </c>
      <c r="AX49" s="241">
        <v>181</v>
      </c>
      <c r="AY49" s="241">
        <v>24126</v>
      </c>
      <c r="AZ49" s="241">
        <v>1</v>
      </c>
      <c r="BA49" s="233"/>
      <c r="BB49" s="241" t="s">
        <v>641</v>
      </c>
      <c r="BC49" s="241">
        <v>12913263010.4</v>
      </c>
      <c r="BD49" s="241">
        <v>49847</v>
      </c>
      <c r="BE49" s="241">
        <v>1688</v>
      </c>
      <c r="BF49" s="241">
        <v>568507</v>
      </c>
      <c r="BG49" s="241">
        <v>1</v>
      </c>
      <c r="BH49" s="235" t="s">
        <v>643</v>
      </c>
      <c r="BI49" s="241">
        <v>0</v>
      </c>
      <c r="BJ49" s="241">
        <v>0</v>
      </c>
      <c r="BK49" s="241">
        <v>0</v>
      </c>
      <c r="BL49" s="241">
        <v>20</v>
      </c>
      <c r="BM49" s="241">
        <v>1</v>
      </c>
      <c r="BN49" s="241"/>
      <c r="BO49" s="244" t="s">
        <v>458</v>
      </c>
      <c r="BP49" s="252" t="s">
        <v>523</v>
      </c>
      <c r="BQ49" s="252" t="s">
        <v>630</v>
      </c>
      <c r="BR49" s="252" t="s">
        <v>631</v>
      </c>
    </row>
    <row r="50" spans="1:70" x14ac:dyDescent="0.25">
      <c r="B50" s="181" t="s">
        <v>326</v>
      </c>
      <c r="C50" s="184">
        <v>42146</v>
      </c>
      <c r="D50" s="181">
        <v>12996.36</v>
      </c>
      <c r="E50" s="211">
        <v>1</v>
      </c>
      <c r="F50" s="205"/>
      <c r="G50" s="211" t="s">
        <v>276</v>
      </c>
      <c r="H50" s="211">
        <v>19111.997599999999</v>
      </c>
      <c r="I50" s="158"/>
      <c r="J50" s="154"/>
      <c r="K50" s="216"/>
      <c r="L50" s="216"/>
      <c r="M50" s="216"/>
      <c r="O50" s="229" t="s">
        <v>276</v>
      </c>
      <c r="P50" s="229">
        <v>19109.338400000001</v>
      </c>
      <c r="Q50" s="227"/>
      <c r="R50" s="148" t="s">
        <v>422</v>
      </c>
      <c r="S50" s="241"/>
      <c r="T50" s="246"/>
      <c r="U50" s="246"/>
      <c r="V50" s="246"/>
      <c r="W50" s="246"/>
      <c r="X50" s="246"/>
      <c r="Y50" s="233"/>
      <c r="Z50" s="241" t="s">
        <v>642</v>
      </c>
      <c r="AA50" s="241">
        <v>42933706.299999997</v>
      </c>
      <c r="AB50" s="241">
        <v>1487</v>
      </c>
      <c r="AC50" s="241">
        <v>140</v>
      </c>
      <c r="AD50" s="241">
        <v>8526</v>
      </c>
      <c r="AE50" s="241">
        <v>1</v>
      </c>
      <c r="AF50" s="241"/>
      <c r="AG50" s="241" t="s">
        <v>646</v>
      </c>
      <c r="AH50" s="241">
        <v>0</v>
      </c>
      <c r="AI50" s="241">
        <v>0</v>
      </c>
      <c r="AJ50" s="241">
        <v>0</v>
      </c>
      <c r="AK50" s="241">
        <v>0</v>
      </c>
      <c r="AL50" s="241">
        <v>1</v>
      </c>
      <c r="AM50" s="233"/>
      <c r="AN50" s="241" t="s">
        <v>642</v>
      </c>
      <c r="AO50" s="241">
        <v>25389723.100000001</v>
      </c>
      <c r="AP50" s="241">
        <v>951</v>
      </c>
      <c r="AQ50" s="241">
        <v>67</v>
      </c>
      <c r="AR50" s="241">
        <v>10037</v>
      </c>
      <c r="AS50" s="241">
        <v>1</v>
      </c>
      <c r="AT50" s="233"/>
      <c r="AU50" s="241" t="s">
        <v>642</v>
      </c>
      <c r="AV50" s="241">
        <v>5671074.5</v>
      </c>
      <c r="AW50" s="241">
        <v>202</v>
      </c>
      <c r="AX50" s="241">
        <v>6</v>
      </c>
      <c r="AY50" s="241">
        <v>277</v>
      </c>
      <c r="AZ50" s="241">
        <v>1</v>
      </c>
      <c r="BA50" s="233"/>
      <c r="BB50" s="241" t="s">
        <v>642</v>
      </c>
      <c r="BC50" s="241">
        <v>207695311.05000001</v>
      </c>
      <c r="BD50" s="241">
        <v>9721</v>
      </c>
      <c r="BE50" s="241">
        <v>129</v>
      </c>
      <c r="BF50" s="241">
        <v>27001</v>
      </c>
      <c r="BG50" s="241">
        <v>1</v>
      </c>
      <c r="BH50" s="235" t="s">
        <v>644</v>
      </c>
      <c r="BI50" s="241">
        <v>141040</v>
      </c>
      <c r="BJ50" s="241">
        <v>2</v>
      </c>
      <c r="BK50" s="241">
        <v>1</v>
      </c>
      <c r="BL50" s="241">
        <v>9</v>
      </c>
      <c r="BM50" s="241">
        <v>1</v>
      </c>
      <c r="BN50" s="241"/>
      <c r="BO50" s="235"/>
      <c r="BP50" s="251"/>
      <c r="BQ50" s="251"/>
      <c r="BR50" s="251"/>
    </row>
    <row r="51" spans="1:70" x14ac:dyDescent="0.25">
      <c r="B51" s="181" t="s">
        <v>549</v>
      </c>
      <c r="C51" s="184">
        <v>44518</v>
      </c>
      <c r="D51" s="181">
        <v>3064.42174673</v>
      </c>
      <c r="E51" s="211">
        <v>1</v>
      </c>
      <c r="F51" s="202"/>
      <c r="G51" s="211" t="s">
        <v>277</v>
      </c>
      <c r="H51" s="211">
        <v>28406.137283579999</v>
      </c>
      <c r="I51" s="158"/>
      <c r="J51" s="152"/>
      <c r="K51" s="216"/>
      <c r="L51" s="216"/>
      <c r="M51" s="216"/>
      <c r="O51" s="229" t="s">
        <v>277</v>
      </c>
      <c r="P51" s="229">
        <v>28000.247925889998</v>
      </c>
      <c r="Q51" s="227"/>
      <c r="S51" s="241"/>
      <c r="T51" s="246"/>
      <c r="U51" s="246"/>
      <c r="V51" s="246"/>
      <c r="W51" s="246"/>
      <c r="X51" s="246"/>
      <c r="Y51" s="233"/>
      <c r="Z51" s="241" t="s">
        <v>643</v>
      </c>
      <c r="AA51" s="241">
        <v>0</v>
      </c>
      <c r="AB51" s="241">
        <v>0</v>
      </c>
      <c r="AC51" s="241">
        <v>0</v>
      </c>
      <c r="AD51" s="241">
        <v>0</v>
      </c>
      <c r="AE51" s="241">
        <v>1</v>
      </c>
      <c r="AF51" s="241"/>
      <c r="AG51" s="241" t="s">
        <v>647</v>
      </c>
      <c r="AH51" s="241">
        <v>0</v>
      </c>
      <c r="AI51" s="241">
        <v>0</v>
      </c>
      <c r="AJ51" s="241">
        <v>0</v>
      </c>
      <c r="AK51" s="241">
        <v>403</v>
      </c>
      <c r="AL51" s="241">
        <v>1</v>
      </c>
      <c r="AM51" s="233"/>
      <c r="AN51" s="241" t="s">
        <v>643</v>
      </c>
      <c r="AO51" s="241">
        <v>331555</v>
      </c>
      <c r="AP51" s="241">
        <v>6</v>
      </c>
      <c r="AQ51" s="241">
        <v>4</v>
      </c>
      <c r="AR51" s="241">
        <v>24</v>
      </c>
      <c r="AS51" s="241">
        <v>1</v>
      </c>
      <c r="AT51" s="233"/>
      <c r="AU51" s="241" t="s">
        <v>643</v>
      </c>
      <c r="AV51" s="241">
        <v>0</v>
      </c>
      <c r="AW51" s="241">
        <v>0</v>
      </c>
      <c r="AX51" s="241">
        <v>0</v>
      </c>
      <c r="AY51" s="241">
        <v>0</v>
      </c>
      <c r="AZ51" s="241">
        <v>1</v>
      </c>
      <c r="BA51" s="233"/>
      <c r="BB51" s="241" t="s">
        <v>643</v>
      </c>
      <c r="BC51" s="241">
        <v>714750</v>
      </c>
      <c r="BD51" s="241">
        <v>20</v>
      </c>
      <c r="BE51" s="241">
        <v>2</v>
      </c>
      <c r="BF51" s="241">
        <v>200</v>
      </c>
      <c r="BG51" s="241">
        <v>1</v>
      </c>
      <c r="BH51" s="235" t="s">
        <v>645</v>
      </c>
      <c r="BI51" s="241">
        <v>0</v>
      </c>
      <c r="BJ51" s="241">
        <v>0</v>
      </c>
      <c r="BK51" s="241">
        <v>0</v>
      </c>
      <c r="BL51" s="241">
        <v>56</v>
      </c>
      <c r="BM51" s="241">
        <v>1</v>
      </c>
      <c r="BN51" s="241"/>
      <c r="BO51" s="235"/>
      <c r="BP51" s="235"/>
      <c r="BQ51" s="235"/>
      <c r="BR51" s="235"/>
    </row>
    <row r="52" spans="1:70" x14ac:dyDescent="0.25">
      <c r="B52" s="181" t="s">
        <v>333</v>
      </c>
      <c r="C52" s="184">
        <v>44267</v>
      </c>
      <c r="D52" s="181">
        <v>57211.3</v>
      </c>
      <c r="E52" s="211">
        <v>1</v>
      </c>
      <c r="F52" s="197"/>
      <c r="G52" s="211" t="s">
        <v>57</v>
      </c>
      <c r="H52" s="211">
        <v>32731.81072351</v>
      </c>
      <c r="I52" s="158"/>
      <c r="J52" s="152"/>
      <c r="K52" s="216"/>
      <c r="L52" s="216"/>
      <c r="M52" s="216"/>
      <c r="O52" s="229" t="s">
        <v>57</v>
      </c>
      <c r="P52" s="229">
        <v>31371.805051300002</v>
      </c>
      <c r="Q52" s="227"/>
      <c r="S52" s="241"/>
      <c r="T52" s="246"/>
      <c r="U52" s="246"/>
      <c r="V52" s="246"/>
      <c r="W52" s="246"/>
      <c r="X52" s="246"/>
      <c r="Y52" s="233"/>
      <c r="Z52" s="241" t="s">
        <v>644</v>
      </c>
      <c r="AA52" s="241">
        <v>606000</v>
      </c>
      <c r="AB52" s="241">
        <v>5</v>
      </c>
      <c r="AC52" s="241">
        <v>1</v>
      </c>
      <c r="AD52" s="241">
        <v>118</v>
      </c>
      <c r="AE52" s="241">
        <v>1</v>
      </c>
      <c r="AF52" s="241"/>
      <c r="AG52" s="241" t="s">
        <v>648</v>
      </c>
      <c r="AH52" s="241">
        <v>723320</v>
      </c>
      <c r="AI52" s="241">
        <v>4</v>
      </c>
      <c r="AJ52" s="241">
        <v>2</v>
      </c>
      <c r="AK52" s="241">
        <v>31</v>
      </c>
      <c r="AL52" s="241">
        <v>1</v>
      </c>
      <c r="AM52" s="233"/>
      <c r="AN52" s="241" t="s">
        <v>644</v>
      </c>
      <c r="AO52" s="241">
        <v>0</v>
      </c>
      <c r="AP52" s="241">
        <v>0</v>
      </c>
      <c r="AQ52" s="241">
        <v>0</v>
      </c>
      <c r="AR52" s="241">
        <v>168</v>
      </c>
      <c r="AS52" s="241">
        <v>1</v>
      </c>
      <c r="AT52" s="233"/>
      <c r="AU52" s="241" t="s">
        <v>644</v>
      </c>
      <c r="AV52" s="241">
        <v>0</v>
      </c>
      <c r="AW52" s="241">
        <v>0</v>
      </c>
      <c r="AX52" s="241">
        <v>0</v>
      </c>
      <c r="AY52" s="241">
        <v>8</v>
      </c>
      <c r="AZ52" s="241">
        <v>1</v>
      </c>
      <c r="BA52" s="233"/>
      <c r="BB52" s="241" t="s">
        <v>644</v>
      </c>
      <c r="BC52" s="241">
        <v>141040</v>
      </c>
      <c r="BD52" s="241">
        <v>2</v>
      </c>
      <c r="BE52" s="241">
        <v>1</v>
      </c>
      <c r="BF52" s="241">
        <v>149</v>
      </c>
      <c r="BG52" s="241">
        <v>1</v>
      </c>
      <c r="BH52" s="235" t="s">
        <v>646</v>
      </c>
      <c r="BI52" s="241">
        <v>0</v>
      </c>
      <c r="BJ52" s="241">
        <v>0</v>
      </c>
      <c r="BK52" s="241">
        <v>0</v>
      </c>
      <c r="BL52" s="241">
        <v>0</v>
      </c>
      <c r="BM52" s="241">
        <v>1</v>
      </c>
      <c r="BN52" s="241"/>
      <c r="BO52" s="247" t="s">
        <v>459</v>
      </c>
      <c r="BP52" s="252" t="s">
        <v>523</v>
      </c>
      <c r="BQ52" s="252" t="s">
        <v>630</v>
      </c>
      <c r="BR52" s="252" t="s">
        <v>631</v>
      </c>
    </row>
    <row r="53" spans="1:70" x14ac:dyDescent="0.25">
      <c r="B53" s="181" t="s">
        <v>561</v>
      </c>
      <c r="C53" s="184">
        <v>44350</v>
      </c>
      <c r="D53" s="181">
        <v>6729.9372418399998</v>
      </c>
      <c r="E53" s="211">
        <v>1</v>
      </c>
      <c r="F53" s="198"/>
      <c r="G53" s="211" t="s">
        <v>50</v>
      </c>
      <c r="H53" s="211">
        <v>35271.121968320003</v>
      </c>
      <c r="I53" s="158"/>
      <c r="J53" s="152"/>
      <c r="K53" s="216"/>
      <c r="L53" s="216"/>
      <c r="M53" s="216"/>
      <c r="O53" s="229" t="s">
        <v>50</v>
      </c>
      <c r="P53" s="229">
        <v>33886.676775259999</v>
      </c>
      <c r="Q53" s="227"/>
      <c r="S53" s="241"/>
      <c r="T53" s="246"/>
      <c r="U53" s="246"/>
      <c r="V53" s="246"/>
      <c r="W53" s="246"/>
      <c r="X53" s="246"/>
      <c r="Y53" s="233"/>
      <c r="Z53" s="241" t="s">
        <v>645</v>
      </c>
      <c r="AA53" s="241">
        <v>0</v>
      </c>
      <c r="AB53" s="241">
        <v>0</v>
      </c>
      <c r="AC53" s="241">
        <v>0</v>
      </c>
      <c r="AD53" s="241">
        <v>8400</v>
      </c>
      <c r="AE53" s="241">
        <v>1</v>
      </c>
      <c r="AF53" s="241"/>
      <c r="AG53" s="241" t="s">
        <v>649</v>
      </c>
      <c r="AH53" s="241">
        <v>12365700</v>
      </c>
      <c r="AI53" s="241">
        <v>49</v>
      </c>
      <c r="AJ53" s="241">
        <v>9</v>
      </c>
      <c r="AK53" s="241">
        <v>126</v>
      </c>
      <c r="AL53" s="241">
        <v>1</v>
      </c>
      <c r="AM53" s="233"/>
      <c r="AN53" s="241" t="s">
        <v>645</v>
      </c>
      <c r="AO53" s="241">
        <v>55786768.75</v>
      </c>
      <c r="AP53" s="241">
        <v>1231</v>
      </c>
      <c r="AQ53" s="241">
        <v>22</v>
      </c>
      <c r="AR53" s="241">
        <v>7862</v>
      </c>
      <c r="AS53" s="241">
        <v>1</v>
      </c>
      <c r="AT53" s="233"/>
      <c r="AU53" s="241" t="s">
        <v>645</v>
      </c>
      <c r="AV53" s="241">
        <v>454625</v>
      </c>
      <c r="AW53" s="241">
        <v>10</v>
      </c>
      <c r="AX53" s="241">
        <v>2</v>
      </c>
      <c r="AY53" s="241">
        <v>400</v>
      </c>
      <c r="AZ53" s="241">
        <v>1</v>
      </c>
      <c r="BA53" s="233"/>
      <c r="BB53" s="241" t="s">
        <v>645</v>
      </c>
      <c r="BC53" s="241">
        <v>2176588</v>
      </c>
      <c r="BD53" s="241">
        <v>94</v>
      </c>
      <c r="BE53" s="241">
        <v>2</v>
      </c>
      <c r="BF53" s="241">
        <v>1136</v>
      </c>
      <c r="BG53" s="241">
        <v>1</v>
      </c>
      <c r="BH53" s="235" t="s">
        <v>647</v>
      </c>
      <c r="BI53" s="241">
        <v>8802770.0040000007</v>
      </c>
      <c r="BJ53" s="241">
        <v>32</v>
      </c>
      <c r="BK53" s="241">
        <v>2</v>
      </c>
      <c r="BL53" s="241">
        <v>179</v>
      </c>
      <c r="BM53" s="241">
        <v>1</v>
      </c>
      <c r="BN53" s="241"/>
      <c r="BO53" s="239"/>
      <c r="BP53" s="251"/>
      <c r="BQ53" s="251"/>
      <c r="BR53" s="251"/>
    </row>
    <row r="54" spans="1:70" x14ac:dyDescent="0.25">
      <c r="B54" s="181" t="s">
        <v>565</v>
      </c>
      <c r="C54" s="184">
        <v>44364</v>
      </c>
      <c r="D54" s="181">
        <v>9667.7523078199993</v>
      </c>
      <c r="E54" s="211">
        <v>1</v>
      </c>
      <c r="F54" s="203"/>
      <c r="G54" s="211" t="s">
        <v>278</v>
      </c>
      <c r="H54" s="211">
        <v>24854.6</v>
      </c>
      <c r="I54" s="158"/>
      <c r="J54" s="152"/>
      <c r="K54" s="216"/>
      <c r="L54" s="216"/>
      <c r="M54" s="216"/>
      <c r="O54" s="229" t="s">
        <v>278</v>
      </c>
      <c r="P54" s="229">
        <v>23278.95</v>
      </c>
      <c r="Q54" s="227"/>
      <c r="S54" s="241"/>
      <c r="T54" s="246"/>
      <c r="U54" s="246"/>
      <c r="V54" s="246"/>
      <c r="W54" s="246"/>
      <c r="X54" s="246"/>
      <c r="Y54" s="233"/>
      <c r="Z54" s="241" t="s">
        <v>646</v>
      </c>
      <c r="AA54" s="241">
        <v>0</v>
      </c>
      <c r="AB54" s="241">
        <v>0</v>
      </c>
      <c r="AC54" s="241">
        <v>0</v>
      </c>
      <c r="AD54" s="241">
        <v>0</v>
      </c>
      <c r="AE54" s="241">
        <v>1</v>
      </c>
      <c r="AF54" s="241"/>
      <c r="AG54" s="241" t="s">
        <v>650</v>
      </c>
      <c r="AH54" s="241">
        <v>0</v>
      </c>
      <c r="AI54" s="241">
        <v>0</v>
      </c>
      <c r="AJ54" s="241">
        <v>0</v>
      </c>
      <c r="AK54" s="241">
        <v>0</v>
      </c>
      <c r="AL54" s="241">
        <v>1</v>
      </c>
      <c r="AM54" s="233"/>
      <c r="AN54" s="241" t="s">
        <v>646</v>
      </c>
      <c r="AO54" s="241">
        <v>0</v>
      </c>
      <c r="AP54" s="241">
        <v>0</v>
      </c>
      <c r="AQ54" s="241">
        <v>0</v>
      </c>
      <c r="AR54" s="241">
        <v>0</v>
      </c>
      <c r="AS54" s="241">
        <v>1</v>
      </c>
      <c r="AT54" s="233"/>
      <c r="AU54" s="241" t="s">
        <v>646</v>
      </c>
      <c r="AV54" s="241">
        <v>0</v>
      </c>
      <c r="AW54" s="241">
        <v>0</v>
      </c>
      <c r="AX54" s="241">
        <v>0</v>
      </c>
      <c r="AY54" s="241">
        <v>0</v>
      </c>
      <c r="AZ54" s="241">
        <v>1</v>
      </c>
      <c r="BA54" s="233"/>
      <c r="BB54" s="241" t="s">
        <v>646</v>
      </c>
      <c r="BC54" s="241">
        <v>0</v>
      </c>
      <c r="BD54" s="241">
        <v>0</v>
      </c>
      <c r="BE54" s="241">
        <v>0</v>
      </c>
      <c r="BF54" s="241">
        <v>0</v>
      </c>
      <c r="BG54" s="241">
        <v>1</v>
      </c>
      <c r="BH54" s="235" t="s">
        <v>648</v>
      </c>
      <c r="BI54" s="241">
        <v>178210</v>
      </c>
      <c r="BJ54" s="241">
        <v>1</v>
      </c>
      <c r="BK54" s="241">
        <v>1</v>
      </c>
      <c r="BL54" s="241">
        <v>24</v>
      </c>
      <c r="BM54" s="241">
        <v>1</v>
      </c>
      <c r="BN54" s="241"/>
      <c r="BO54" s="239"/>
      <c r="BP54" s="251"/>
      <c r="BQ54" s="251"/>
      <c r="BR54" s="251"/>
    </row>
    <row r="55" spans="1:70" x14ac:dyDescent="0.25">
      <c r="B55" s="181" t="s">
        <v>566</v>
      </c>
      <c r="C55" s="184">
        <v>44426</v>
      </c>
      <c r="D55" s="181">
        <v>147.06595134</v>
      </c>
      <c r="E55" s="211">
        <v>1</v>
      </c>
      <c r="F55" s="206"/>
      <c r="G55" s="211" t="s">
        <v>534</v>
      </c>
      <c r="H55" s="211">
        <v>90108.525029929995</v>
      </c>
      <c r="I55" s="158"/>
      <c r="J55" s="152"/>
      <c r="K55" s="216"/>
      <c r="L55" s="216"/>
      <c r="M55" s="216"/>
      <c r="O55" s="229" t="s">
        <v>534</v>
      </c>
      <c r="P55" s="229">
        <v>84657.354495370004</v>
      </c>
      <c r="Q55" s="227"/>
      <c r="S55" s="241"/>
      <c r="T55" s="246"/>
      <c r="U55" s="246"/>
      <c r="V55" s="246"/>
      <c r="W55" s="246"/>
      <c r="X55" s="246"/>
      <c r="Y55" s="233"/>
      <c r="Z55" s="241" t="s">
        <v>647</v>
      </c>
      <c r="AA55" s="241">
        <v>141822909.91999999</v>
      </c>
      <c r="AB55" s="241">
        <v>512</v>
      </c>
      <c r="AC55" s="241">
        <v>24</v>
      </c>
      <c r="AD55" s="241">
        <v>8537</v>
      </c>
      <c r="AE55" s="241">
        <v>1</v>
      </c>
      <c r="AF55" s="241"/>
      <c r="AG55" s="241" t="s">
        <v>651</v>
      </c>
      <c r="AH55" s="241">
        <v>0</v>
      </c>
      <c r="AI55" s="241">
        <v>0</v>
      </c>
      <c r="AJ55" s="241">
        <v>0</v>
      </c>
      <c r="AK55" s="241">
        <v>77</v>
      </c>
      <c r="AL55" s="241">
        <v>1</v>
      </c>
      <c r="AM55" s="233"/>
      <c r="AN55" s="241" t="s">
        <v>647</v>
      </c>
      <c r="AO55" s="241">
        <v>11208450</v>
      </c>
      <c r="AP55" s="241">
        <v>42</v>
      </c>
      <c r="AQ55" s="241">
        <v>26</v>
      </c>
      <c r="AR55" s="241">
        <v>8576</v>
      </c>
      <c r="AS55" s="241">
        <v>1</v>
      </c>
      <c r="AT55" s="233"/>
      <c r="AU55" s="241" t="s">
        <v>647</v>
      </c>
      <c r="AV55" s="241">
        <v>550500</v>
      </c>
      <c r="AW55" s="241">
        <v>2</v>
      </c>
      <c r="AX55" s="241">
        <v>2</v>
      </c>
      <c r="AY55" s="241">
        <v>405</v>
      </c>
      <c r="AZ55" s="241">
        <v>1</v>
      </c>
      <c r="BA55" s="233"/>
      <c r="BB55" s="241" t="s">
        <v>647</v>
      </c>
      <c r="BC55" s="241">
        <v>208419949.896</v>
      </c>
      <c r="BD55" s="241">
        <v>702</v>
      </c>
      <c r="BE55" s="241">
        <v>27</v>
      </c>
      <c r="BF55" s="241">
        <v>5970</v>
      </c>
      <c r="BG55" s="241">
        <v>1</v>
      </c>
      <c r="BH55" s="235" t="s">
        <v>649</v>
      </c>
      <c r="BI55" s="241">
        <v>1276000</v>
      </c>
      <c r="BJ55" s="241">
        <v>8</v>
      </c>
      <c r="BK55" s="241">
        <v>2</v>
      </c>
      <c r="BL55" s="241">
        <v>10</v>
      </c>
      <c r="BM55" s="241">
        <v>1</v>
      </c>
      <c r="BN55" s="241"/>
      <c r="BO55" s="244" t="s">
        <v>460</v>
      </c>
      <c r="BP55" s="252"/>
      <c r="BQ55" s="252"/>
      <c r="BR55" s="251"/>
    </row>
    <row r="56" spans="1:70" x14ac:dyDescent="0.25">
      <c r="B56" s="181" t="s">
        <v>343</v>
      </c>
      <c r="C56" s="184">
        <v>43165</v>
      </c>
      <c r="D56" s="181">
        <v>14437.3</v>
      </c>
      <c r="E56" s="211">
        <v>1</v>
      </c>
      <c r="F56" s="206"/>
      <c r="G56" s="211" t="s">
        <v>96</v>
      </c>
      <c r="H56" s="211">
        <v>405.09991030999998</v>
      </c>
      <c r="I56" s="158"/>
      <c r="J56" s="152"/>
      <c r="K56" s="216"/>
      <c r="L56" s="216"/>
      <c r="M56" s="216"/>
      <c r="O56" s="229" t="s">
        <v>96</v>
      </c>
      <c r="P56" s="229">
        <v>397.5028954</v>
      </c>
      <c r="Q56" s="227"/>
      <c r="S56" s="241"/>
      <c r="T56" s="246"/>
      <c r="U56" s="246"/>
      <c r="V56" s="246"/>
      <c r="W56" s="246"/>
      <c r="X56" s="246"/>
      <c r="Y56" s="233"/>
      <c r="Z56" s="241" t="s">
        <v>648</v>
      </c>
      <c r="AA56" s="241">
        <v>42591779.93</v>
      </c>
      <c r="AB56" s="241">
        <v>233</v>
      </c>
      <c r="AC56" s="241">
        <v>28</v>
      </c>
      <c r="AD56" s="241">
        <v>789</v>
      </c>
      <c r="AE56" s="241">
        <v>1</v>
      </c>
      <c r="AF56" s="241"/>
      <c r="AG56" s="241" t="s">
        <v>652</v>
      </c>
      <c r="AH56" s="241">
        <v>507600</v>
      </c>
      <c r="AI56" s="241">
        <v>4</v>
      </c>
      <c r="AJ56" s="241">
        <v>1</v>
      </c>
      <c r="AK56" s="241">
        <v>250</v>
      </c>
      <c r="AL56" s="241">
        <v>1</v>
      </c>
      <c r="AM56" s="233"/>
      <c r="AN56" s="241" t="s">
        <v>648</v>
      </c>
      <c r="AO56" s="241">
        <v>31225980</v>
      </c>
      <c r="AP56" s="241">
        <v>175</v>
      </c>
      <c r="AQ56" s="241">
        <v>19</v>
      </c>
      <c r="AR56" s="241">
        <v>577</v>
      </c>
      <c r="AS56" s="241">
        <v>1</v>
      </c>
      <c r="AT56" s="233"/>
      <c r="AU56" s="241" t="s">
        <v>648</v>
      </c>
      <c r="AV56" s="241">
        <v>886100</v>
      </c>
      <c r="AW56" s="241">
        <v>5</v>
      </c>
      <c r="AX56" s="241">
        <v>1</v>
      </c>
      <c r="AY56" s="241">
        <v>51</v>
      </c>
      <c r="AZ56" s="241">
        <v>1</v>
      </c>
      <c r="BA56" s="233"/>
      <c r="BB56" s="241" t="s">
        <v>648</v>
      </c>
      <c r="BC56" s="241">
        <v>28604559.989999998</v>
      </c>
      <c r="BD56" s="241">
        <v>150</v>
      </c>
      <c r="BE56" s="241">
        <v>32</v>
      </c>
      <c r="BF56" s="241">
        <v>522</v>
      </c>
      <c r="BG56" s="241">
        <v>1</v>
      </c>
      <c r="BH56" s="235" t="s">
        <v>650</v>
      </c>
      <c r="BI56" s="241">
        <v>0</v>
      </c>
      <c r="BJ56" s="241">
        <v>0</v>
      </c>
      <c r="BK56" s="241">
        <v>0</v>
      </c>
      <c r="BL56" s="241">
        <v>37</v>
      </c>
      <c r="BM56" s="241">
        <v>1</v>
      </c>
      <c r="BN56" s="241"/>
      <c r="BO56" s="235"/>
      <c r="BP56" s="251"/>
      <c r="BQ56" s="251"/>
      <c r="BR56" s="251"/>
    </row>
    <row r="57" spans="1:70" x14ac:dyDescent="0.25">
      <c r="B57" s="181" t="s">
        <v>346</v>
      </c>
      <c r="C57" s="184">
        <v>42374</v>
      </c>
      <c r="D57" s="181">
        <v>13453.03</v>
      </c>
      <c r="E57" s="211">
        <v>1</v>
      </c>
      <c r="F57" s="206"/>
      <c r="G57" s="211" t="s">
        <v>98</v>
      </c>
      <c r="H57" s="211">
        <v>902.29694013999995</v>
      </c>
      <c r="I57" s="158"/>
      <c r="J57" s="152"/>
      <c r="K57" s="216"/>
      <c r="L57" s="216"/>
      <c r="M57" s="216"/>
      <c r="O57" s="229" t="s">
        <v>98</v>
      </c>
      <c r="P57" s="229">
        <v>854.84990731000005</v>
      </c>
      <c r="Q57" s="227"/>
      <c r="S57" s="241"/>
      <c r="T57" s="246"/>
      <c r="U57" s="246"/>
      <c r="V57" s="246"/>
      <c r="W57" s="246"/>
      <c r="X57" s="246"/>
      <c r="Y57" s="233"/>
      <c r="Z57" s="241" t="s">
        <v>649</v>
      </c>
      <c r="AA57" s="241">
        <v>249502607.36000001</v>
      </c>
      <c r="AB57" s="241">
        <v>1052</v>
      </c>
      <c r="AC57" s="241">
        <v>108</v>
      </c>
      <c r="AD57" s="241">
        <v>2653</v>
      </c>
      <c r="AE57" s="241">
        <v>1</v>
      </c>
      <c r="AF57" s="241"/>
      <c r="AG57" s="241" t="s">
        <v>653</v>
      </c>
      <c r="AH57" s="241">
        <v>0</v>
      </c>
      <c r="AI57" s="241">
        <v>0</v>
      </c>
      <c r="AJ57" s="241">
        <v>0</v>
      </c>
      <c r="AK57" s="241">
        <v>21</v>
      </c>
      <c r="AL57" s="241">
        <v>1</v>
      </c>
      <c r="AM57" s="233"/>
      <c r="AN57" s="241" t="s">
        <v>649</v>
      </c>
      <c r="AO57" s="241">
        <v>66260149.75</v>
      </c>
      <c r="AP57" s="241">
        <v>320</v>
      </c>
      <c r="AQ57" s="241">
        <v>48</v>
      </c>
      <c r="AR57" s="241">
        <v>4478</v>
      </c>
      <c r="AS57" s="241">
        <v>1</v>
      </c>
      <c r="AT57" s="233"/>
      <c r="AU57" s="241" t="s">
        <v>649</v>
      </c>
      <c r="AV57" s="241">
        <v>886100</v>
      </c>
      <c r="AW57" s="241">
        <v>4</v>
      </c>
      <c r="AX57" s="241">
        <v>1</v>
      </c>
      <c r="AY57" s="241">
        <v>195</v>
      </c>
      <c r="AZ57" s="241">
        <v>1</v>
      </c>
      <c r="BA57" s="233"/>
      <c r="BB57" s="241" t="s">
        <v>649</v>
      </c>
      <c r="BC57" s="241">
        <v>1276000</v>
      </c>
      <c r="BD57" s="241">
        <v>8</v>
      </c>
      <c r="BE57" s="241">
        <v>2</v>
      </c>
      <c r="BF57" s="241">
        <v>50</v>
      </c>
      <c r="BG57" s="241">
        <v>1</v>
      </c>
      <c r="BH57" s="235" t="s">
        <v>651</v>
      </c>
      <c r="BI57" s="241">
        <v>0</v>
      </c>
      <c r="BJ57" s="241">
        <v>0</v>
      </c>
      <c r="BK57" s="241">
        <v>0</v>
      </c>
      <c r="BL57" s="241">
        <v>67</v>
      </c>
      <c r="BM57" s="241">
        <v>1</v>
      </c>
      <c r="BN57" s="241"/>
      <c r="BO57" s="235"/>
      <c r="BP57" s="251"/>
      <c r="BQ57" s="251"/>
      <c r="BR57" s="251"/>
    </row>
    <row r="58" spans="1:70" x14ac:dyDescent="0.25">
      <c r="B58" s="181" t="s">
        <v>348</v>
      </c>
      <c r="C58" s="184">
        <v>42310</v>
      </c>
      <c r="D58" s="181">
        <v>11222.21</v>
      </c>
      <c r="E58" s="211">
        <v>1</v>
      </c>
      <c r="F58" s="206"/>
      <c r="G58" s="211" t="s">
        <v>286</v>
      </c>
      <c r="H58" s="211">
        <v>3089.9196333199998</v>
      </c>
      <c r="I58" s="158"/>
      <c r="J58" s="152"/>
      <c r="K58" s="216"/>
      <c r="L58" s="216"/>
      <c r="M58" s="216"/>
      <c r="O58" s="229" t="s">
        <v>286</v>
      </c>
      <c r="P58" s="229">
        <v>2868.8992308699999</v>
      </c>
      <c r="Q58" s="227"/>
      <c r="S58" s="233"/>
      <c r="T58" s="233"/>
      <c r="U58" s="233"/>
      <c r="V58" s="233"/>
      <c r="W58" s="233"/>
      <c r="X58" s="233"/>
      <c r="Y58" s="233"/>
      <c r="Z58" s="241" t="s">
        <v>650</v>
      </c>
      <c r="AA58" s="241">
        <v>0</v>
      </c>
      <c r="AB58" s="241">
        <v>0</v>
      </c>
      <c r="AC58" s="241">
        <v>0</v>
      </c>
      <c r="AD58" s="241">
        <v>0</v>
      </c>
      <c r="AE58" s="241">
        <v>1</v>
      </c>
      <c r="AF58" s="241"/>
      <c r="AG58" s="241" t="s">
        <v>654</v>
      </c>
      <c r="AH58" s="241">
        <v>294620</v>
      </c>
      <c r="AI58" s="241">
        <v>1</v>
      </c>
      <c r="AJ58" s="241">
        <v>1</v>
      </c>
      <c r="AK58" s="241">
        <v>13</v>
      </c>
      <c r="AL58" s="241">
        <v>1</v>
      </c>
      <c r="AM58" s="233"/>
      <c r="AN58" s="241" t="s">
        <v>650</v>
      </c>
      <c r="AO58" s="241">
        <v>211436.4</v>
      </c>
      <c r="AP58" s="241">
        <v>2</v>
      </c>
      <c r="AQ58" s="241">
        <v>2</v>
      </c>
      <c r="AR58" s="241">
        <v>6</v>
      </c>
      <c r="AS58" s="241">
        <v>1</v>
      </c>
      <c r="AT58" s="233"/>
      <c r="AU58" s="241" t="s">
        <v>650</v>
      </c>
      <c r="AV58" s="241">
        <v>0</v>
      </c>
      <c r="AW58" s="241">
        <v>0</v>
      </c>
      <c r="AX58" s="241">
        <v>0</v>
      </c>
      <c r="AY58" s="241">
        <v>0</v>
      </c>
      <c r="AZ58" s="241">
        <v>1</v>
      </c>
      <c r="BA58" s="233"/>
      <c r="BB58" s="241" t="s">
        <v>650</v>
      </c>
      <c r="BC58" s="241">
        <v>1153530</v>
      </c>
      <c r="BD58" s="241">
        <v>23</v>
      </c>
      <c r="BE58" s="241">
        <v>9</v>
      </c>
      <c r="BF58" s="241">
        <v>728</v>
      </c>
      <c r="BG58" s="241">
        <v>1</v>
      </c>
      <c r="BH58" s="235" t="s">
        <v>652</v>
      </c>
      <c r="BI58" s="241">
        <v>0</v>
      </c>
      <c r="BJ58" s="241">
        <v>0</v>
      </c>
      <c r="BK58" s="241">
        <v>0</v>
      </c>
      <c r="BL58" s="241">
        <v>47</v>
      </c>
      <c r="BM58" s="241">
        <v>1</v>
      </c>
      <c r="BN58" s="241"/>
      <c r="BO58" s="235"/>
      <c r="BP58" s="251"/>
      <c r="BQ58" s="251"/>
      <c r="BR58" s="251"/>
    </row>
    <row r="59" spans="1:70" x14ac:dyDescent="0.25">
      <c r="B59" s="181" t="s">
        <v>360</v>
      </c>
      <c r="C59" s="184">
        <v>42222</v>
      </c>
      <c r="D59" s="181">
        <v>26117.47</v>
      </c>
      <c r="E59" s="211">
        <v>1</v>
      </c>
      <c r="F59" s="197"/>
      <c r="G59" s="211" t="s">
        <v>59</v>
      </c>
      <c r="H59" s="211">
        <v>12090.82346519</v>
      </c>
      <c r="I59" s="158"/>
      <c r="J59" s="152"/>
      <c r="K59" s="216"/>
      <c r="L59" s="216"/>
      <c r="M59" s="216"/>
      <c r="O59" s="229" t="s">
        <v>59</v>
      </c>
      <c r="P59" s="229">
        <v>11979.552374049999</v>
      </c>
      <c r="Q59" s="227"/>
      <c r="S59" s="233"/>
      <c r="T59" s="233"/>
      <c r="U59" s="233"/>
      <c r="V59" s="233"/>
      <c r="W59" s="233"/>
      <c r="X59" s="233"/>
      <c r="Y59" s="233"/>
      <c r="Z59" s="241" t="s">
        <v>651</v>
      </c>
      <c r="AA59" s="241">
        <v>0</v>
      </c>
      <c r="AB59" s="241">
        <v>0</v>
      </c>
      <c r="AC59" s="241">
        <v>0</v>
      </c>
      <c r="AD59" s="241">
        <v>1617</v>
      </c>
      <c r="AE59" s="241">
        <v>1</v>
      </c>
      <c r="AF59" s="241"/>
      <c r="AG59" s="241" t="s">
        <v>655</v>
      </c>
      <c r="AH59" s="241">
        <v>0</v>
      </c>
      <c r="AI59" s="241">
        <v>0</v>
      </c>
      <c r="AJ59" s="241">
        <v>0</v>
      </c>
      <c r="AK59" s="241">
        <v>0</v>
      </c>
      <c r="AL59" s="241">
        <v>1</v>
      </c>
      <c r="AM59" s="233"/>
      <c r="AN59" s="241" t="s">
        <v>651</v>
      </c>
      <c r="AO59" s="241">
        <v>0</v>
      </c>
      <c r="AP59" s="241">
        <v>0</v>
      </c>
      <c r="AQ59" s="241">
        <v>0</v>
      </c>
      <c r="AR59" s="241">
        <v>1617</v>
      </c>
      <c r="AS59" s="241">
        <v>1</v>
      </c>
      <c r="AT59" s="233"/>
      <c r="AU59" s="241" t="s">
        <v>651</v>
      </c>
      <c r="AV59" s="241">
        <v>0</v>
      </c>
      <c r="AW59" s="241">
        <v>0</v>
      </c>
      <c r="AX59" s="241">
        <v>0</v>
      </c>
      <c r="AY59" s="241">
        <v>77</v>
      </c>
      <c r="AZ59" s="241">
        <v>1</v>
      </c>
      <c r="BA59" s="233"/>
      <c r="BB59" s="241" t="s">
        <v>651</v>
      </c>
      <c r="BC59" s="241">
        <v>8217000</v>
      </c>
      <c r="BD59" s="241">
        <v>83</v>
      </c>
      <c r="BE59" s="241">
        <v>2</v>
      </c>
      <c r="BF59" s="241">
        <v>1334</v>
      </c>
      <c r="BG59" s="241">
        <v>1</v>
      </c>
      <c r="BH59" s="235" t="s">
        <v>653</v>
      </c>
      <c r="BI59" s="241">
        <v>0</v>
      </c>
      <c r="BJ59" s="241">
        <v>0</v>
      </c>
      <c r="BK59" s="241">
        <v>0</v>
      </c>
      <c r="BL59" s="241">
        <v>7</v>
      </c>
      <c r="BM59" s="241">
        <v>1</v>
      </c>
      <c r="BN59" s="241"/>
      <c r="BO59" s="244" t="s">
        <v>442</v>
      </c>
      <c r="BP59" s="252" t="s">
        <v>523</v>
      </c>
      <c r="BQ59" s="252" t="s">
        <v>630</v>
      </c>
      <c r="BR59" s="252" t="s">
        <v>631</v>
      </c>
    </row>
    <row r="60" spans="1:70" x14ac:dyDescent="0.25">
      <c r="B60" s="181" t="s">
        <v>367</v>
      </c>
      <c r="C60" s="184">
        <v>43125</v>
      </c>
      <c r="D60" s="181">
        <v>15343.72</v>
      </c>
      <c r="E60" s="211">
        <v>1</v>
      </c>
      <c r="F60" s="197"/>
      <c r="G60" s="211" t="s">
        <v>52</v>
      </c>
      <c r="H60" s="211">
        <v>13488.56165422</v>
      </c>
      <c r="I60" s="158"/>
      <c r="J60" s="152"/>
      <c r="K60" s="216"/>
      <c r="L60" s="216"/>
      <c r="M60" s="216"/>
      <c r="O60" s="229" t="s">
        <v>52</v>
      </c>
      <c r="P60" s="229">
        <v>13398.43546493</v>
      </c>
      <c r="Q60" s="227"/>
      <c r="S60" s="242"/>
      <c r="T60" s="245"/>
      <c r="U60" s="245"/>
      <c r="V60" s="245"/>
      <c r="W60" s="245"/>
      <c r="X60" s="245"/>
      <c r="Y60" s="233"/>
      <c r="Z60" s="241" t="s">
        <v>652</v>
      </c>
      <c r="AA60" s="241">
        <v>14964000</v>
      </c>
      <c r="AB60" s="241">
        <v>129</v>
      </c>
      <c r="AC60" s="241">
        <v>10</v>
      </c>
      <c r="AD60" s="241">
        <v>6572</v>
      </c>
      <c r="AE60" s="241">
        <v>1</v>
      </c>
      <c r="AF60" s="241"/>
      <c r="AG60" s="241" t="s">
        <v>656</v>
      </c>
      <c r="AH60" s="241">
        <v>0</v>
      </c>
      <c r="AI60" s="241">
        <v>0</v>
      </c>
      <c r="AJ60" s="241">
        <v>0</v>
      </c>
      <c r="AK60" s="241">
        <v>131</v>
      </c>
      <c r="AL60" s="241">
        <v>1</v>
      </c>
      <c r="AM60" s="233"/>
      <c r="AN60" s="241" t="s">
        <v>652</v>
      </c>
      <c r="AO60" s="241">
        <v>8601600</v>
      </c>
      <c r="AP60" s="241">
        <v>75</v>
      </c>
      <c r="AQ60" s="241">
        <v>6</v>
      </c>
      <c r="AR60" s="241">
        <v>8777</v>
      </c>
      <c r="AS60" s="241">
        <v>1</v>
      </c>
      <c r="AT60" s="233"/>
      <c r="AU60" s="241" t="s">
        <v>652</v>
      </c>
      <c r="AV60" s="241">
        <v>0</v>
      </c>
      <c r="AW60" s="241">
        <v>0</v>
      </c>
      <c r="AX60" s="241">
        <v>0</v>
      </c>
      <c r="AY60" s="241">
        <v>361</v>
      </c>
      <c r="AZ60" s="241">
        <v>1</v>
      </c>
      <c r="BA60" s="233"/>
      <c r="BB60" s="241" t="s">
        <v>652</v>
      </c>
      <c r="BC60" s="241">
        <v>7626000</v>
      </c>
      <c r="BD60" s="241">
        <v>69</v>
      </c>
      <c r="BE60" s="241">
        <v>6</v>
      </c>
      <c r="BF60" s="241">
        <v>1605</v>
      </c>
      <c r="BG60" s="241">
        <v>1</v>
      </c>
      <c r="BH60" s="235" t="s">
        <v>654</v>
      </c>
      <c r="BI60" s="241">
        <v>0</v>
      </c>
      <c r="BJ60" s="241">
        <v>0</v>
      </c>
      <c r="BK60" s="241">
        <v>0</v>
      </c>
      <c r="BL60" s="241">
        <v>107</v>
      </c>
      <c r="BM60" s="241">
        <v>1</v>
      </c>
      <c r="BN60" s="241"/>
      <c r="BO60" s="235"/>
      <c r="BP60" s="251"/>
      <c r="BQ60" s="251"/>
      <c r="BR60" s="251"/>
    </row>
    <row r="61" spans="1:70" x14ac:dyDescent="0.25">
      <c r="A61" s="35"/>
      <c r="B61" s="181" t="s">
        <v>368</v>
      </c>
      <c r="C61" s="184">
        <v>43125</v>
      </c>
      <c r="D61" s="181">
        <v>18705.11</v>
      </c>
      <c r="E61" s="211">
        <v>1</v>
      </c>
      <c r="F61" s="200"/>
      <c r="G61" s="211" t="s">
        <v>535</v>
      </c>
      <c r="H61" s="211">
        <v>18611.201248040001</v>
      </c>
      <c r="I61" s="158"/>
      <c r="J61" s="152"/>
      <c r="K61" s="216"/>
      <c r="L61" s="216"/>
      <c r="M61" s="216"/>
      <c r="O61" s="229" t="s">
        <v>535</v>
      </c>
      <c r="P61" s="229">
        <v>18333.013624070001</v>
      </c>
      <c r="Q61" s="227"/>
      <c r="R61" s="152"/>
      <c r="S61" s="241"/>
      <c r="T61" s="246"/>
      <c r="U61" s="246"/>
      <c r="V61" s="246"/>
      <c r="W61" s="246"/>
      <c r="X61" s="246"/>
      <c r="Y61" s="233"/>
      <c r="Z61" s="241" t="s">
        <v>653</v>
      </c>
      <c r="AA61" s="241">
        <v>482000</v>
      </c>
      <c r="AB61" s="241">
        <v>10</v>
      </c>
      <c r="AC61" s="241">
        <v>5</v>
      </c>
      <c r="AD61" s="241">
        <v>391</v>
      </c>
      <c r="AE61" s="241">
        <v>1</v>
      </c>
      <c r="AF61" s="241"/>
      <c r="AG61" s="241" t="s">
        <v>657</v>
      </c>
      <c r="AH61" s="241">
        <v>189400</v>
      </c>
      <c r="AI61" s="241">
        <v>2</v>
      </c>
      <c r="AJ61" s="241">
        <v>1</v>
      </c>
      <c r="AK61" s="241">
        <v>27</v>
      </c>
      <c r="AL61" s="241">
        <v>1</v>
      </c>
      <c r="AM61" s="233"/>
      <c r="AN61" s="241" t="s">
        <v>653</v>
      </c>
      <c r="AO61" s="241">
        <v>5814690</v>
      </c>
      <c r="AP61" s="241">
        <v>101</v>
      </c>
      <c r="AQ61" s="241">
        <v>27</v>
      </c>
      <c r="AR61" s="241">
        <v>299</v>
      </c>
      <c r="AS61" s="241">
        <v>1</v>
      </c>
      <c r="AT61" s="233"/>
      <c r="AU61" s="241" t="s">
        <v>653</v>
      </c>
      <c r="AV61" s="241">
        <v>0</v>
      </c>
      <c r="AW61" s="241">
        <v>0</v>
      </c>
      <c r="AX61" s="241">
        <v>0</v>
      </c>
      <c r="AY61" s="241">
        <v>11</v>
      </c>
      <c r="AZ61" s="241">
        <v>1</v>
      </c>
      <c r="BA61" s="233"/>
      <c r="BB61" s="241" t="s">
        <v>653</v>
      </c>
      <c r="BC61" s="241">
        <v>192850</v>
      </c>
      <c r="BD61" s="241">
        <v>7</v>
      </c>
      <c r="BE61" s="241">
        <v>3</v>
      </c>
      <c r="BF61" s="241">
        <v>36</v>
      </c>
      <c r="BG61" s="241">
        <v>1</v>
      </c>
      <c r="BH61" s="235" t="s">
        <v>655</v>
      </c>
      <c r="BI61" s="241">
        <v>0</v>
      </c>
      <c r="BJ61" s="241">
        <v>0</v>
      </c>
      <c r="BK61" s="241">
        <v>0</v>
      </c>
      <c r="BL61" s="241">
        <v>10</v>
      </c>
      <c r="BM61" s="241">
        <v>1</v>
      </c>
      <c r="BN61" s="241"/>
      <c r="BO61" s="235"/>
      <c r="BP61" s="235"/>
      <c r="BQ61" s="235"/>
      <c r="BR61" s="235"/>
    </row>
    <row r="62" spans="1:70" x14ac:dyDescent="0.25">
      <c r="A62" s="14"/>
      <c r="B62" s="181" t="s">
        <v>588</v>
      </c>
      <c r="C62" s="184">
        <v>44467</v>
      </c>
      <c r="D62" s="181">
        <v>22652.05</v>
      </c>
      <c r="E62" s="211">
        <v>1</v>
      </c>
      <c r="F62" s="200"/>
      <c r="G62" s="211" t="s">
        <v>536</v>
      </c>
      <c r="H62" s="211">
        <v>19785.17805599</v>
      </c>
      <c r="I62" s="158"/>
      <c r="J62" s="152"/>
      <c r="K62" s="216"/>
      <c r="L62" s="216"/>
      <c r="M62" s="216"/>
      <c r="O62" s="229" t="s">
        <v>536</v>
      </c>
      <c r="P62" s="229">
        <v>19602.846147060001</v>
      </c>
      <c r="Q62" s="227"/>
      <c r="R62" s="152"/>
      <c r="S62" s="241"/>
      <c r="T62" s="246"/>
      <c r="U62" s="246"/>
      <c r="V62" s="246"/>
      <c r="W62" s="246"/>
      <c r="X62" s="246"/>
      <c r="Y62" s="233"/>
      <c r="Z62" s="241" t="s">
        <v>654</v>
      </c>
      <c r="AA62" s="241">
        <v>6203010</v>
      </c>
      <c r="AB62" s="241">
        <v>20</v>
      </c>
      <c r="AC62" s="241">
        <v>4</v>
      </c>
      <c r="AD62" s="241">
        <v>234</v>
      </c>
      <c r="AE62" s="241">
        <v>1</v>
      </c>
      <c r="AF62" s="241"/>
      <c r="AG62" s="241" t="s">
        <v>658</v>
      </c>
      <c r="AH62" s="241">
        <v>0</v>
      </c>
      <c r="AI62" s="241">
        <v>0</v>
      </c>
      <c r="AJ62" s="241">
        <v>0</v>
      </c>
      <c r="AK62" s="241">
        <v>0</v>
      </c>
      <c r="AL62" s="241">
        <v>1</v>
      </c>
      <c r="AM62" s="233"/>
      <c r="AN62" s="241" t="s">
        <v>654</v>
      </c>
      <c r="AO62" s="241">
        <v>40850500</v>
      </c>
      <c r="AP62" s="241">
        <v>131</v>
      </c>
      <c r="AQ62" s="241">
        <v>5</v>
      </c>
      <c r="AR62" s="241">
        <v>1186</v>
      </c>
      <c r="AS62" s="241">
        <v>1</v>
      </c>
      <c r="AT62" s="233"/>
      <c r="AU62" s="241" t="s">
        <v>654</v>
      </c>
      <c r="AV62" s="241">
        <v>0</v>
      </c>
      <c r="AW62" s="241">
        <v>0</v>
      </c>
      <c r="AX62" s="241">
        <v>0</v>
      </c>
      <c r="AY62" s="241">
        <v>11</v>
      </c>
      <c r="AZ62" s="241">
        <v>1</v>
      </c>
      <c r="BA62" s="233"/>
      <c r="BB62" s="241" t="s">
        <v>654</v>
      </c>
      <c r="BC62" s="241">
        <v>11725000</v>
      </c>
      <c r="BD62" s="241">
        <v>30</v>
      </c>
      <c r="BE62" s="241">
        <v>2</v>
      </c>
      <c r="BF62" s="241">
        <v>2247</v>
      </c>
      <c r="BG62" s="241">
        <v>1</v>
      </c>
      <c r="BH62" s="235" t="s">
        <v>656</v>
      </c>
      <c r="BI62" s="241">
        <v>0</v>
      </c>
      <c r="BJ62" s="241">
        <v>0</v>
      </c>
      <c r="BK62" s="241">
        <v>0</v>
      </c>
      <c r="BL62" s="241">
        <v>88</v>
      </c>
      <c r="BM62" s="241">
        <v>1</v>
      </c>
      <c r="BN62" s="241"/>
      <c r="BO62" s="244" t="s">
        <v>457</v>
      </c>
      <c r="BP62" s="252" t="s">
        <v>523</v>
      </c>
      <c r="BQ62" s="252" t="s">
        <v>630</v>
      </c>
      <c r="BR62" s="252" t="s">
        <v>631</v>
      </c>
    </row>
    <row r="63" spans="1:70" x14ac:dyDescent="0.25">
      <c r="A63" s="14"/>
      <c r="B63" s="181" t="s">
        <v>595</v>
      </c>
      <c r="C63" s="184">
        <v>44518</v>
      </c>
      <c r="D63" s="181">
        <v>8268.7999999999993</v>
      </c>
      <c r="E63" s="211">
        <v>1</v>
      </c>
      <c r="F63" s="200"/>
      <c r="G63" s="211" t="s">
        <v>289</v>
      </c>
      <c r="H63" s="211">
        <v>4667.5936844300004</v>
      </c>
      <c r="I63" s="158"/>
      <c r="J63" s="152"/>
      <c r="K63" s="216"/>
      <c r="L63" s="216"/>
      <c r="M63" s="216"/>
      <c r="O63" s="229" t="s">
        <v>289</v>
      </c>
      <c r="P63" s="229">
        <v>4778.8836962900004</v>
      </c>
      <c r="Q63" s="227"/>
      <c r="R63" s="148" t="s">
        <v>423</v>
      </c>
      <c r="S63" s="241"/>
      <c r="T63" s="246"/>
      <c r="U63" s="246"/>
      <c r="V63" s="246"/>
      <c r="W63" s="246"/>
      <c r="X63" s="246"/>
      <c r="Y63" s="233"/>
      <c r="Z63" s="241" t="s">
        <v>655</v>
      </c>
      <c r="AA63" s="241">
        <v>3855285</v>
      </c>
      <c r="AB63" s="241">
        <v>18</v>
      </c>
      <c r="AC63" s="241">
        <v>3</v>
      </c>
      <c r="AD63" s="241">
        <v>162</v>
      </c>
      <c r="AE63" s="241">
        <v>1</v>
      </c>
      <c r="AF63" s="241"/>
      <c r="AG63" s="241" t="s">
        <v>659</v>
      </c>
      <c r="AH63" s="241">
        <v>0</v>
      </c>
      <c r="AI63" s="241">
        <v>0</v>
      </c>
      <c r="AJ63" s="241">
        <v>0</v>
      </c>
      <c r="AK63" s="241">
        <v>0</v>
      </c>
      <c r="AL63" s="241">
        <v>1</v>
      </c>
      <c r="AM63" s="233"/>
      <c r="AN63" s="241" t="s">
        <v>655</v>
      </c>
      <c r="AO63" s="241">
        <v>3781260</v>
      </c>
      <c r="AP63" s="241">
        <v>19</v>
      </c>
      <c r="AQ63" s="241">
        <v>12</v>
      </c>
      <c r="AR63" s="241">
        <v>256</v>
      </c>
      <c r="AS63" s="241">
        <v>1</v>
      </c>
      <c r="AT63" s="233"/>
      <c r="AU63" s="241" t="s">
        <v>655</v>
      </c>
      <c r="AV63" s="241">
        <v>0</v>
      </c>
      <c r="AW63" s="241">
        <v>0</v>
      </c>
      <c r="AX63" s="241">
        <v>0</v>
      </c>
      <c r="AY63" s="241">
        <v>16</v>
      </c>
      <c r="AZ63" s="241">
        <v>1</v>
      </c>
      <c r="BA63" s="233"/>
      <c r="BB63" s="241" t="s">
        <v>655</v>
      </c>
      <c r="BC63" s="241">
        <v>3950680</v>
      </c>
      <c r="BD63" s="241">
        <v>16</v>
      </c>
      <c r="BE63" s="241">
        <v>3</v>
      </c>
      <c r="BF63" s="241">
        <v>182</v>
      </c>
      <c r="BG63" s="241">
        <v>1</v>
      </c>
      <c r="BH63" s="235" t="s">
        <v>657</v>
      </c>
      <c r="BI63" s="241">
        <v>0</v>
      </c>
      <c r="BJ63" s="241">
        <v>0</v>
      </c>
      <c r="BK63" s="241">
        <v>0</v>
      </c>
      <c r="BL63" s="241">
        <v>61</v>
      </c>
      <c r="BM63" s="241">
        <v>1</v>
      </c>
      <c r="BN63" s="241"/>
      <c r="BO63" s="239"/>
      <c r="BP63" s="251"/>
      <c r="BQ63" s="251"/>
      <c r="BR63" s="251"/>
    </row>
    <row r="64" spans="1:70" x14ac:dyDescent="0.25">
      <c r="A64" s="14"/>
      <c r="B64" s="181" t="s">
        <v>596</v>
      </c>
      <c r="C64" s="184">
        <v>44439</v>
      </c>
      <c r="D64" s="181">
        <v>3199</v>
      </c>
      <c r="E64" s="211">
        <v>1</v>
      </c>
      <c r="F64" s="200"/>
      <c r="G64" s="211" t="s">
        <v>78</v>
      </c>
      <c r="H64" s="211">
        <v>34908.016615820001</v>
      </c>
      <c r="I64" s="158"/>
      <c r="J64" s="3"/>
      <c r="K64" s="216"/>
      <c r="L64" s="216"/>
      <c r="M64" s="216"/>
      <c r="O64" s="229" t="s">
        <v>78</v>
      </c>
      <c r="P64" s="229">
        <v>35587.663626560003</v>
      </c>
      <c r="Q64" s="227"/>
      <c r="R64" s="152"/>
      <c r="S64" s="241"/>
      <c r="T64" s="246"/>
      <c r="U64" s="246"/>
      <c r="V64" s="246"/>
      <c r="W64" s="246"/>
      <c r="X64" s="246"/>
      <c r="Y64" s="233"/>
      <c r="Z64" s="241" t="s">
        <v>656</v>
      </c>
      <c r="AA64" s="241">
        <v>34569740.009999998</v>
      </c>
      <c r="AB64" s="241">
        <v>215</v>
      </c>
      <c r="AC64" s="241">
        <v>12</v>
      </c>
      <c r="AD64" s="241">
        <v>2584</v>
      </c>
      <c r="AE64" s="241">
        <v>1</v>
      </c>
      <c r="AF64" s="241"/>
      <c r="AG64" s="241" t="s">
        <v>660</v>
      </c>
      <c r="AH64" s="241">
        <v>186000</v>
      </c>
      <c r="AI64" s="241">
        <v>1</v>
      </c>
      <c r="AJ64" s="241">
        <v>1</v>
      </c>
      <c r="AK64" s="241">
        <v>95</v>
      </c>
      <c r="AL64" s="241">
        <v>1</v>
      </c>
      <c r="AM64" s="233"/>
      <c r="AN64" s="241" t="s">
        <v>656</v>
      </c>
      <c r="AO64" s="241">
        <v>8961475.3800000008</v>
      </c>
      <c r="AP64" s="241">
        <v>58</v>
      </c>
      <c r="AQ64" s="241">
        <v>7</v>
      </c>
      <c r="AR64" s="241">
        <v>1684</v>
      </c>
      <c r="AS64" s="241">
        <v>1</v>
      </c>
      <c r="AT64" s="233"/>
      <c r="AU64" s="241" t="s">
        <v>656</v>
      </c>
      <c r="AV64" s="241">
        <v>0</v>
      </c>
      <c r="AW64" s="241">
        <v>0</v>
      </c>
      <c r="AX64" s="241">
        <v>0</v>
      </c>
      <c r="AY64" s="241">
        <v>96</v>
      </c>
      <c r="AZ64" s="241">
        <v>1</v>
      </c>
      <c r="BA64" s="233"/>
      <c r="BB64" s="241" t="s">
        <v>656</v>
      </c>
      <c r="BC64" s="241">
        <v>7055000</v>
      </c>
      <c r="BD64" s="241">
        <v>50</v>
      </c>
      <c r="BE64" s="241">
        <v>1</v>
      </c>
      <c r="BF64" s="241">
        <v>1943</v>
      </c>
      <c r="BG64" s="241">
        <v>1</v>
      </c>
      <c r="BH64" s="235" t="s">
        <v>660</v>
      </c>
      <c r="BI64" s="241">
        <v>0</v>
      </c>
      <c r="BJ64" s="241">
        <v>0</v>
      </c>
      <c r="BK64" s="241">
        <v>0</v>
      </c>
      <c r="BL64" s="241">
        <v>68</v>
      </c>
      <c r="BM64" s="241">
        <v>1</v>
      </c>
      <c r="BN64" s="241"/>
      <c r="BO64" s="235"/>
      <c r="BP64" s="235"/>
      <c r="BQ64" s="235"/>
      <c r="BR64" s="235"/>
    </row>
    <row r="65" spans="1:70" x14ac:dyDescent="0.25">
      <c r="A65" s="14"/>
      <c r="B65" s="181" t="s">
        <v>599</v>
      </c>
      <c r="C65" s="184">
        <v>44498</v>
      </c>
      <c r="D65" s="181">
        <v>2600</v>
      </c>
      <c r="E65" s="211">
        <v>1</v>
      </c>
      <c r="F65" s="200"/>
      <c r="G65" s="211" t="s">
        <v>294</v>
      </c>
      <c r="H65" s="211">
        <v>8222.5112183199999</v>
      </c>
      <c r="I65" s="158"/>
      <c r="J65" s="3"/>
      <c r="K65" s="216"/>
      <c r="L65" s="216"/>
      <c r="M65" s="216"/>
      <c r="O65" s="229" t="s">
        <v>294</v>
      </c>
      <c r="P65" s="229">
        <v>8381.9836866099995</v>
      </c>
      <c r="Q65" s="227"/>
      <c r="R65" s="152"/>
      <c r="S65" s="241"/>
      <c r="T65" s="246"/>
      <c r="U65" s="246"/>
      <c r="V65" s="246"/>
      <c r="W65" s="246"/>
      <c r="X65" s="246"/>
      <c r="Y65" s="233"/>
      <c r="Z65" s="241" t="s">
        <v>657</v>
      </c>
      <c r="AA65" s="241">
        <v>6788250</v>
      </c>
      <c r="AB65" s="241">
        <v>64</v>
      </c>
      <c r="AC65" s="241">
        <v>19</v>
      </c>
      <c r="AD65" s="241">
        <v>693</v>
      </c>
      <c r="AE65" s="241">
        <v>1</v>
      </c>
      <c r="AF65" s="241"/>
      <c r="AG65" s="241" t="s">
        <v>661</v>
      </c>
      <c r="AH65" s="241">
        <v>806600</v>
      </c>
      <c r="AI65" s="241">
        <v>7</v>
      </c>
      <c r="AJ65" s="241">
        <v>5</v>
      </c>
      <c r="AK65" s="241">
        <v>99</v>
      </c>
      <c r="AL65" s="241">
        <v>1</v>
      </c>
      <c r="AM65" s="233"/>
      <c r="AN65" s="241" t="s">
        <v>657</v>
      </c>
      <c r="AO65" s="241">
        <v>1021020</v>
      </c>
      <c r="AP65" s="241">
        <v>10</v>
      </c>
      <c r="AQ65" s="241">
        <v>7</v>
      </c>
      <c r="AR65" s="241">
        <v>1014</v>
      </c>
      <c r="AS65" s="241">
        <v>1</v>
      </c>
      <c r="AT65" s="233"/>
      <c r="AU65" s="241" t="s">
        <v>657</v>
      </c>
      <c r="AV65" s="241">
        <v>0</v>
      </c>
      <c r="AW65" s="241">
        <v>0</v>
      </c>
      <c r="AX65" s="241">
        <v>0</v>
      </c>
      <c r="AY65" s="241">
        <v>49</v>
      </c>
      <c r="AZ65" s="241">
        <v>1</v>
      </c>
      <c r="BA65" s="233"/>
      <c r="BB65" s="241" t="s">
        <v>657</v>
      </c>
      <c r="BC65" s="241">
        <v>16598640</v>
      </c>
      <c r="BD65" s="241">
        <v>185</v>
      </c>
      <c r="BE65" s="241">
        <v>38</v>
      </c>
      <c r="BF65" s="241">
        <v>1410</v>
      </c>
      <c r="BG65" s="241">
        <v>1</v>
      </c>
      <c r="BH65" s="235" t="s">
        <v>661</v>
      </c>
      <c r="BI65" s="241">
        <v>224975</v>
      </c>
      <c r="BJ65" s="241">
        <v>2</v>
      </c>
      <c r="BK65" s="241">
        <v>2</v>
      </c>
      <c r="BL65" s="241">
        <v>95</v>
      </c>
      <c r="BM65" s="241">
        <v>1</v>
      </c>
      <c r="BN65" s="241"/>
      <c r="BO65" s="244" t="s">
        <v>443</v>
      </c>
      <c r="BP65" s="252" t="s">
        <v>523</v>
      </c>
      <c r="BQ65" s="252" t="s">
        <v>630</v>
      </c>
      <c r="BR65" s="252" t="s">
        <v>631</v>
      </c>
    </row>
    <row r="66" spans="1:70" x14ac:dyDescent="0.25">
      <c r="A66" s="83"/>
      <c r="B66" s="181" t="s">
        <v>606</v>
      </c>
      <c r="C66" s="184">
        <v>44503</v>
      </c>
      <c r="D66" s="181">
        <v>33852.67</v>
      </c>
      <c r="E66" s="211">
        <v>1</v>
      </c>
      <c r="F66" s="208"/>
      <c r="G66" s="211" t="s">
        <v>537</v>
      </c>
      <c r="H66" s="211">
        <v>7533.2825737900002</v>
      </c>
      <c r="I66" s="158"/>
      <c r="J66" s="3"/>
      <c r="K66" s="216"/>
      <c r="L66" s="216"/>
      <c r="M66" s="216"/>
      <c r="O66" s="229" t="s">
        <v>537</v>
      </c>
      <c r="P66" s="229">
        <v>7378.7359348800001</v>
      </c>
      <c r="Q66" s="227"/>
      <c r="R66" s="152"/>
      <c r="S66" s="241"/>
      <c r="T66" s="246"/>
      <c r="U66" s="246"/>
      <c r="V66" s="246"/>
      <c r="W66" s="246"/>
      <c r="X66" s="246"/>
      <c r="Y66" s="233"/>
      <c r="Z66" s="241" t="s">
        <v>658</v>
      </c>
      <c r="AA66" s="241">
        <v>0</v>
      </c>
      <c r="AB66" s="241">
        <v>0</v>
      </c>
      <c r="AC66" s="241">
        <v>0</v>
      </c>
      <c r="AD66" s="241">
        <v>0</v>
      </c>
      <c r="AE66" s="241">
        <v>1</v>
      </c>
      <c r="AF66" s="241"/>
      <c r="AG66" s="241" t="s">
        <v>662</v>
      </c>
      <c r="AH66" s="241">
        <v>8088949.9950000001</v>
      </c>
      <c r="AI66" s="241">
        <v>33</v>
      </c>
      <c r="AJ66" s="241">
        <v>5</v>
      </c>
      <c r="AK66" s="241">
        <v>104</v>
      </c>
      <c r="AL66" s="241">
        <v>1</v>
      </c>
      <c r="AM66" s="233"/>
      <c r="AN66" s="241" t="s">
        <v>658</v>
      </c>
      <c r="AO66" s="241">
        <v>10689690</v>
      </c>
      <c r="AP66" s="241">
        <v>20</v>
      </c>
      <c r="AQ66" s="241">
        <v>4</v>
      </c>
      <c r="AR66" s="241">
        <v>0</v>
      </c>
      <c r="AS66" s="241">
        <v>1</v>
      </c>
      <c r="AT66" s="233"/>
      <c r="AU66" s="241" t="s">
        <v>658</v>
      </c>
      <c r="AV66" s="241">
        <v>0</v>
      </c>
      <c r="AW66" s="241">
        <v>0</v>
      </c>
      <c r="AX66" s="241">
        <v>0</v>
      </c>
      <c r="AY66" s="241">
        <v>0</v>
      </c>
      <c r="AZ66" s="241">
        <v>1</v>
      </c>
      <c r="BA66" s="233"/>
      <c r="BB66" s="241" t="s">
        <v>674</v>
      </c>
      <c r="BC66" s="241">
        <v>1341980</v>
      </c>
      <c r="BD66" s="241">
        <v>2</v>
      </c>
      <c r="BE66" s="241">
        <v>1</v>
      </c>
      <c r="BF66" s="241">
        <v>30</v>
      </c>
      <c r="BG66" s="241">
        <v>1</v>
      </c>
      <c r="BH66" s="235" t="s">
        <v>662</v>
      </c>
      <c r="BI66" s="241">
        <v>0</v>
      </c>
      <c r="BJ66" s="241">
        <v>0</v>
      </c>
      <c r="BK66" s="241">
        <v>0</v>
      </c>
      <c r="BL66" s="241">
        <v>12</v>
      </c>
      <c r="BM66" s="241">
        <v>1</v>
      </c>
      <c r="BN66" s="241"/>
      <c r="BO66" s="235"/>
      <c r="BP66" s="251">
        <v>0</v>
      </c>
      <c r="BQ66" s="251">
        <v>0</v>
      </c>
      <c r="BR66" s="251">
        <v>0</v>
      </c>
    </row>
    <row r="67" spans="1:70" x14ac:dyDescent="0.25">
      <c r="A67" s="83"/>
      <c r="B67" s="181" t="s">
        <v>617</v>
      </c>
      <c r="C67" s="184">
        <v>44278</v>
      </c>
      <c r="D67" s="181">
        <v>1093.78</v>
      </c>
      <c r="E67" s="211">
        <v>1</v>
      </c>
      <c r="F67" s="201"/>
      <c r="G67" s="211" t="s">
        <v>538</v>
      </c>
      <c r="H67" s="211">
        <v>8275.2256292700004</v>
      </c>
      <c r="I67" s="158"/>
      <c r="J67" s="3"/>
      <c r="K67" s="216"/>
      <c r="L67" s="216"/>
      <c r="M67" s="216"/>
      <c r="O67" s="229" t="s">
        <v>538</v>
      </c>
      <c r="P67" s="229">
        <v>8103.8128955299999</v>
      </c>
      <c r="Q67" s="227"/>
      <c r="R67" s="152"/>
      <c r="S67" s="241"/>
      <c r="T67" s="246"/>
      <c r="U67" s="246"/>
      <c r="V67" s="246"/>
      <c r="W67" s="246"/>
      <c r="X67" s="246"/>
      <c r="Y67" s="233"/>
      <c r="Z67" s="241" t="s">
        <v>659</v>
      </c>
      <c r="AA67" s="241">
        <v>1549470</v>
      </c>
      <c r="AB67" s="241">
        <v>3</v>
      </c>
      <c r="AC67" s="241">
        <v>1</v>
      </c>
      <c r="AD67" s="241">
        <v>57</v>
      </c>
      <c r="AE67" s="241">
        <v>1</v>
      </c>
      <c r="AF67" s="241"/>
      <c r="AG67" s="241" t="s">
        <v>663</v>
      </c>
      <c r="AH67" s="241">
        <v>2172500639.9250002</v>
      </c>
      <c r="AI67" s="241">
        <v>5796</v>
      </c>
      <c r="AJ67" s="241">
        <v>217</v>
      </c>
      <c r="AK67" s="241">
        <v>11423</v>
      </c>
      <c r="AL67" s="241">
        <v>1</v>
      </c>
      <c r="AM67" s="233"/>
      <c r="AN67" s="241" t="s">
        <v>659</v>
      </c>
      <c r="AO67" s="241">
        <v>938150</v>
      </c>
      <c r="AP67" s="241">
        <v>2</v>
      </c>
      <c r="AQ67" s="241">
        <v>2</v>
      </c>
      <c r="AR67" s="241">
        <v>58</v>
      </c>
      <c r="AS67" s="241">
        <v>1</v>
      </c>
      <c r="AT67" s="233"/>
      <c r="AU67" s="241" t="s">
        <v>659</v>
      </c>
      <c r="AV67" s="241">
        <v>0</v>
      </c>
      <c r="AW67" s="241">
        <v>0</v>
      </c>
      <c r="AX67" s="241">
        <v>0</v>
      </c>
      <c r="AY67" s="241">
        <v>3</v>
      </c>
      <c r="AZ67" s="241">
        <v>1</v>
      </c>
      <c r="BA67" s="233"/>
      <c r="BB67" s="241" t="s">
        <v>675</v>
      </c>
      <c r="BC67" s="241">
        <v>0</v>
      </c>
      <c r="BD67" s="241">
        <v>0</v>
      </c>
      <c r="BE67" s="241">
        <v>0</v>
      </c>
      <c r="BF67" s="241">
        <v>0</v>
      </c>
      <c r="BG67" s="241">
        <v>1</v>
      </c>
      <c r="BH67" s="235" t="s">
        <v>663</v>
      </c>
      <c r="BI67" s="241">
        <v>269743947.95499998</v>
      </c>
      <c r="BJ67" s="241">
        <v>675</v>
      </c>
      <c r="BK67" s="241">
        <v>192</v>
      </c>
      <c r="BL67" s="241">
        <v>11183</v>
      </c>
      <c r="BM67" s="241">
        <v>1</v>
      </c>
      <c r="BN67" s="241"/>
      <c r="BO67" s="235"/>
      <c r="BP67" s="235"/>
      <c r="BQ67" s="235"/>
      <c r="BR67" s="235"/>
    </row>
    <row r="68" spans="1:70" x14ac:dyDescent="0.25">
      <c r="A68" s="83"/>
      <c r="B68" s="181" t="s">
        <v>378</v>
      </c>
      <c r="C68" s="184">
        <v>38006</v>
      </c>
      <c r="D68" s="181">
        <v>106.83</v>
      </c>
      <c r="E68" s="211">
        <v>1</v>
      </c>
      <c r="F68" s="201"/>
      <c r="G68" s="211" t="s">
        <v>539</v>
      </c>
      <c r="H68" s="211">
        <v>6044.6605773399997</v>
      </c>
      <c r="I68" s="158"/>
      <c r="J68" s="3"/>
      <c r="K68" s="216"/>
      <c r="L68" s="216"/>
      <c r="M68" s="216"/>
      <c r="O68" s="229" t="s">
        <v>539</v>
      </c>
      <c r="P68" s="229">
        <v>5821.2640782899998</v>
      </c>
      <c r="Q68" s="227"/>
      <c r="R68" s="152"/>
      <c r="S68" s="241"/>
      <c r="T68" s="246"/>
      <c r="U68" s="246"/>
      <c r="V68" s="246"/>
      <c r="W68" s="246"/>
      <c r="X68" s="246"/>
      <c r="Y68" s="233"/>
      <c r="Z68" s="241" t="s">
        <v>660</v>
      </c>
      <c r="AA68" s="241">
        <v>16197324</v>
      </c>
      <c r="AB68" s="241">
        <v>85</v>
      </c>
      <c r="AC68" s="241">
        <v>12</v>
      </c>
      <c r="AD68" s="241">
        <v>1550</v>
      </c>
      <c r="AE68" s="241">
        <v>1</v>
      </c>
      <c r="AF68" s="241"/>
      <c r="AG68" s="241" t="s">
        <v>664</v>
      </c>
      <c r="AH68" s="241">
        <v>35484499.979999997</v>
      </c>
      <c r="AI68" s="241">
        <v>47</v>
      </c>
      <c r="AJ68" s="241">
        <v>9</v>
      </c>
      <c r="AK68" s="241">
        <v>247</v>
      </c>
      <c r="AL68" s="241">
        <v>1</v>
      </c>
      <c r="AM68" s="233"/>
      <c r="AN68" s="241" t="s">
        <v>660</v>
      </c>
      <c r="AO68" s="241">
        <v>1437500.05</v>
      </c>
      <c r="AP68" s="241">
        <v>8</v>
      </c>
      <c r="AQ68" s="241">
        <v>6</v>
      </c>
      <c r="AR68" s="241">
        <v>552</v>
      </c>
      <c r="AS68" s="241">
        <v>1</v>
      </c>
      <c r="AT68" s="233"/>
      <c r="AU68" s="241" t="s">
        <v>660</v>
      </c>
      <c r="AV68" s="241">
        <v>736150.05</v>
      </c>
      <c r="AW68" s="241">
        <v>4</v>
      </c>
      <c r="AX68" s="241">
        <v>2</v>
      </c>
      <c r="AY68" s="241">
        <v>26</v>
      </c>
      <c r="AZ68" s="241">
        <v>1</v>
      </c>
      <c r="BA68" s="233"/>
      <c r="BB68" s="241" t="s">
        <v>660</v>
      </c>
      <c r="BC68" s="241">
        <v>49646423.700000003</v>
      </c>
      <c r="BD68" s="241">
        <v>250</v>
      </c>
      <c r="BE68" s="241">
        <v>18</v>
      </c>
      <c r="BF68" s="241">
        <v>2188</v>
      </c>
      <c r="BG68" s="241">
        <v>1</v>
      </c>
      <c r="BH68" s="235" t="s">
        <v>664</v>
      </c>
      <c r="BI68" s="241">
        <v>31185330.010000002</v>
      </c>
      <c r="BJ68" s="241">
        <v>46</v>
      </c>
      <c r="BK68" s="241">
        <v>11</v>
      </c>
      <c r="BL68" s="241">
        <v>168</v>
      </c>
      <c r="BM68" s="241">
        <v>1</v>
      </c>
      <c r="BN68" s="241"/>
      <c r="BO68" s="244" t="s">
        <v>444</v>
      </c>
      <c r="BP68" s="252" t="s">
        <v>523</v>
      </c>
      <c r="BQ68" s="252" t="s">
        <v>630</v>
      </c>
      <c r="BR68" s="252" t="s">
        <v>631</v>
      </c>
    </row>
    <row r="69" spans="1:70" x14ac:dyDescent="0.25">
      <c r="A69" s="83"/>
      <c r="B69" s="181" t="s">
        <v>386</v>
      </c>
      <c r="C69" s="184">
        <v>38713</v>
      </c>
      <c r="D69" s="181">
        <v>137.76</v>
      </c>
      <c r="E69" s="211">
        <v>1</v>
      </c>
      <c r="F69" s="201"/>
      <c r="G69" s="211" t="s">
        <v>306</v>
      </c>
      <c r="H69" s="211">
        <v>74.847282390000004</v>
      </c>
      <c r="I69" s="158"/>
      <c r="J69" s="3"/>
      <c r="K69" s="216"/>
      <c r="L69" s="216"/>
      <c r="M69" s="216"/>
      <c r="O69" s="229" t="s">
        <v>306</v>
      </c>
      <c r="P69" s="229">
        <v>76.565523110000001</v>
      </c>
      <c r="Q69" s="227"/>
      <c r="R69" s="152"/>
      <c r="S69" s="241"/>
      <c r="T69" s="246"/>
      <c r="U69" s="246"/>
      <c r="V69" s="246"/>
      <c r="W69" s="246"/>
      <c r="X69" s="246"/>
      <c r="Y69" s="233"/>
      <c r="Z69" s="241" t="s">
        <v>661</v>
      </c>
      <c r="AA69" s="241">
        <v>19877586.5</v>
      </c>
      <c r="AB69" s="241">
        <v>163</v>
      </c>
      <c r="AC69" s="241">
        <v>49</v>
      </c>
      <c r="AD69" s="241">
        <v>2101</v>
      </c>
      <c r="AE69" s="241">
        <v>1</v>
      </c>
      <c r="AF69" s="241"/>
      <c r="AG69" s="241" t="s">
        <v>665</v>
      </c>
      <c r="AH69" s="241">
        <v>0</v>
      </c>
      <c r="AI69" s="241">
        <v>0</v>
      </c>
      <c r="AJ69" s="241">
        <v>0</v>
      </c>
      <c r="AK69" s="241">
        <v>69</v>
      </c>
      <c r="AL69" s="241">
        <v>1</v>
      </c>
      <c r="AM69" s="233"/>
      <c r="AN69" s="241" t="s">
        <v>661</v>
      </c>
      <c r="AO69" s="241">
        <v>5969350</v>
      </c>
      <c r="AP69" s="241">
        <v>50</v>
      </c>
      <c r="AQ69" s="241">
        <v>25</v>
      </c>
      <c r="AR69" s="241">
        <v>1353</v>
      </c>
      <c r="AS69" s="241">
        <v>1</v>
      </c>
      <c r="AT69" s="233"/>
      <c r="AU69" s="241" t="s">
        <v>661</v>
      </c>
      <c r="AV69" s="241">
        <v>0</v>
      </c>
      <c r="AW69" s="241">
        <v>0</v>
      </c>
      <c r="AX69" s="241">
        <v>0</v>
      </c>
      <c r="AY69" s="241">
        <v>81</v>
      </c>
      <c r="AZ69" s="241">
        <v>1</v>
      </c>
      <c r="BA69" s="233"/>
      <c r="BB69" s="241" t="s">
        <v>661</v>
      </c>
      <c r="BC69" s="241">
        <v>24984116.5</v>
      </c>
      <c r="BD69" s="241">
        <v>198</v>
      </c>
      <c r="BE69" s="241">
        <v>35</v>
      </c>
      <c r="BF69" s="241">
        <v>1429</v>
      </c>
      <c r="BG69" s="241">
        <v>1</v>
      </c>
      <c r="BH69" s="235" t="s">
        <v>665</v>
      </c>
      <c r="BI69" s="241">
        <v>118024519.52</v>
      </c>
      <c r="BJ69" s="241">
        <v>175</v>
      </c>
      <c r="BK69" s="241">
        <v>7</v>
      </c>
      <c r="BL69" s="241">
        <v>744</v>
      </c>
      <c r="BM69" s="241">
        <v>1</v>
      </c>
      <c r="BN69" s="241"/>
      <c r="BO69" s="235"/>
      <c r="BP69" s="251">
        <v>0</v>
      </c>
      <c r="BQ69" s="251">
        <v>0</v>
      </c>
      <c r="BR69" s="251">
        <v>0</v>
      </c>
    </row>
    <row r="70" spans="1:70" x14ac:dyDescent="0.25">
      <c r="A70" s="83"/>
      <c r="B70" s="181" t="s">
        <v>391</v>
      </c>
      <c r="C70" s="184">
        <v>42129</v>
      </c>
      <c r="D70" s="181">
        <v>1211.2244297899999</v>
      </c>
      <c r="E70" s="211">
        <v>1</v>
      </c>
      <c r="F70" s="200"/>
      <c r="G70" s="211" t="s">
        <v>307</v>
      </c>
      <c r="H70" s="211">
        <v>155.37769322</v>
      </c>
      <c r="I70" s="158"/>
      <c r="J70" s="3"/>
      <c r="K70" s="216"/>
      <c r="L70" s="216"/>
      <c r="M70" s="216"/>
      <c r="O70" s="229" t="s">
        <v>307</v>
      </c>
      <c r="P70" s="229">
        <v>150.77360350999999</v>
      </c>
      <c r="Q70" s="227"/>
      <c r="R70" s="152"/>
      <c r="S70" s="241"/>
      <c r="T70" s="246"/>
      <c r="U70" s="246"/>
      <c r="V70" s="246"/>
      <c r="W70" s="246"/>
      <c r="X70" s="246"/>
      <c r="Y70" s="233"/>
      <c r="Z70" s="241" t="s">
        <v>662</v>
      </c>
      <c r="AA70" s="241">
        <v>67402146.984999999</v>
      </c>
      <c r="AB70" s="241">
        <v>289</v>
      </c>
      <c r="AC70" s="241">
        <v>43</v>
      </c>
      <c r="AD70" s="241">
        <v>1982</v>
      </c>
      <c r="AE70" s="241">
        <v>1</v>
      </c>
      <c r="AF70" s="241"/>
      <c r="AG70" s="241" t="s">
        <v>666</v>
      </c>
      <c r="AH70" s="241">
        <v>0</v>
      </c>
      <c r="AI70" s="241">
        <v>0</v>
      </c>
      <c r="AJ70" s="241">
        <v>0</v>
      </c>
      <c r="AK70" s="241">
        <v>44</v>
      </c>
      <c r="AL70" s="241">
        <v>1</v>
      </c>
      <c r="AM70" s="233"/>
      <c r="AN70" s="241" t="s">
        <v>662</v>
      </c>
      <c r="AO70" s="241">
        <v>22468180</v>
      </c>
      <c r="AP70" s="241">
        <v>107</v>
      </c>
      <c r="AQ70" s="241">
        <v>44</v>
      </c>
      <c r="AR70" s="241">
        <v>566</v>
      </c>
      <c r="AS70" s="241">
        <v>1</v>
      </c>
      <c r="AT70" s="233"/>
      <c r="AU70" s="241" t="s">
        <v>662</v>
      </c>
      <c r="AV70" s="241">
        <v>1524860</v>
      </c>
      <c r="AW70" s="241">
        <v>7</v>
      </c>
      <c r="AX70" s="241">
        <v>7</v>
      </c>
      <c r="AY70" s="241">
        <v>31</v>
      </c>
      <c r="AZ70" s="241">
        <v>1</v>
      </c>
      <c r="BA70" s="233"/>
      <c r="BB70" s="241" t="s">
        <v>662</v>
      </c>
      <c r="BC70" s="241">
        <v>12327780.02</v>
      </c>
      <c r="BD70" s="241">
        <v>69</v>
      </c>
      <c r="BE70" s="241">
        <v>44</v>
      </c>
      <c r="BF70" s="241">
        <v>424</v>
      </c>
      <c r="BG70" s="241">
        <v>1</v>
      </c>
      <c r="BH70" s="235" t="s">
        <v>666</v>
      </c>
      <c r="BI70" s="241">
        <v>99873974.180000007</v>
      </c>
      <c r="BJ70" s="241">
        <v>312</v>
      </c>
      <c r="BK70" s="241">
        <v>5</v>
      </c>
      <c r="BL70" s="241">
        <v>851</v>
      </c>
      <c r="BM70" s="241">
        <v>1</v>
      </c>
      <c r="BN70" s="241"/>
      <c r="BO70" s="233"/>
      <c r="BP70" s="233"/>
      <c r="BQ70" s="233"/>
      <c r="BR70" s="233"/>
    </row>
    <row r="71" spans="1:70" x14ac:dyDescent="0.25">
      <c r="A71" s="14"/>
      <c r="B71" s="181" t="s">
        <v>392</v>
      </c>
      <c r="C71" s="184">
        <v>42552</v>
      </c>
      <c r="D71" s="181">
        <v>532.75119029999996</v>
      </c>
      <c r="E71" s="211">
        <v>1</v>
      </c>
      <c r="F71" s="200"/>
      <c r="G71" s="211" t="s">
        <v>308</v>
      </c>
      <c r="H71" s="211">
        <v>49.501905059999999</v>
      </c>
      <c r="I71" s="158"/>
      <c r="J71" s="3"/>
      <c r="K71" s="216"/>
      <c r="L71" s="216"/>
      <c r="M71" s="216"/>
      <c r="O71" s="229" t="s">
        <v>308</v>
      </c>
      <c r="P71" s="229">
        <v>52.029151669999997</v>
      </c>
      <c r="Q71" s="227"/>
      <c r="R71" s="152"/>
      <c r="S71" s="241"/>
      <c r="T71" s="246"/>
      <c r="U71" s="246"/>
      <c r="V71" s="246"/>
      <c r="W71" s="246"/>
      <c r="X71" s="246"/>
      <c r="Y71" s="233"/>
      <c r="Z71" s="241" t="s">
        <v>663</v>
      </c>
      <c r="AA71" s="241">
        <v>13213360034.754999</v>
      </c>
      <c r="AB71" s="241">
        <v>35730</v>
      </c>
      <c r="AC71" s="241">
        <v>3625</v>
      </c>
      <c r="AD71" s="241">
        <v>266339</v>
      </c>
      <c r="AE71" s="241">
        <v>1</v>
      </c>
      <c r="AF71" s="241"/>
      <c r="AG71" s="241" t="s">
        <v>667</v>
      </c>
      <c r="AH71" s="241">
        <v>1250000</v>
      </c>
      <c r="AI71" s="241">
        <v>20</v>
      </c>
      <c r="AJ71" s="241">
        <v>2</v>
      </c>
      <c r="AK71" s="241">
        <v>135</v>
      </c>
      <c r="AL71" s="241">
        <v>1</v>
      </c>
      <c r="AM71" s="233"/>
      <c r="AN71" s="241" t="s">
        <v>663</v>
      </c>
      <c r="AO71" s="241">
        <v>7599971618.625</v>
      </c>
      <c r="AP71" s="241">
        <v>20762</v>
      </c>
      <c r="AQ71" s="241">
        <v>2713</v>
      </c>
      <c r="AR71" s="241">
        <v>280551</v>
      </c>
      <c r="AS71" s="241">
        <v>1</v>
      </c>
      <c r="AT71" s="233"/>
      <c r="AU71" s="241" t="s">
        <v>663</v>
      </c>
      <c r="AV71" s="241">
        <v>323852212.95499998</v>
      </c>
      <c r="AW71" s="241">
        <v>875</v>
      </c>
      <c r="AX71" s="241">
        <v>108</v>
      </c>
      <c r="AY71" s="241">
        <v>12734</v>
      </c>
      <c r="AZ71" s="241">
        <v>1</v>
      </c>
      <c r="BA71" s="233"/>
      <c r="BB71" s="241" t="s">
        <v>663</v>
      </c>
      <c r="BC71" s="241">
        <v>11862261453.445</v>
      </c>
      <c r="BD71" s="241">
        <v>28912</v>
      </c>
      <c r="BE71" s="241">
        <v>4166</v>
      </c>
      <c r="BF71" s="241">
        <v>240191</v>
      </c>
      <c r="BG71" s="241">
        <v>1</v>
      </c>
      <c r="BH71" s="235" t="s">
        <v>667</v>
      </c>
      <c r="BI71" s="241">
        <v>0</v>
      </c>
      <c r="BJ71" s="241">
        <v>0</v>
      </c>
      <c r="BK71" s="241">
        <v>0</v>
      </c>
      <c r="BL71" s="241">
        <v>641</v>
      </c>
      <c r="BM71" s="241">
        <v>1</v>
      </c>
      <c r="BN71" s="241"/>
      <c r="BO71" s="244" t="s">
        <v>461</v>
      </c>
      <c r="BP71" s="252"/>
      <c r="BQ71" s="252"/>
      <c r="BR71" s="235"/>
    </row>
    <row r="72" spans="1:70" x14ac:dyDescent="0.25">
      <c r="A72" s="145"/>
      <c r="B72" s="181" t="s">
        <v>397</v>
      </c>
      <c r="C72" s="184">
        <v>40478</v>
      </c>
      <c r="D72" s="181">
        <v>148.34</v>
      </c>
      <c r="E72" s="211">
        <v>1</v>
      </c>
      <c r="F72" s="201"/>
      <c r="G72" s="211" t="s">
        <v>309</v>
      </c>
      <c r="H72" s="211">
        <v>98.481405199999998</v>
      </c>
      <c r="I72" s="158"/>
      <c r="J72" s="3"/>
      <c r="K72" s="216"/>
      <c r="L72" s="216"/>
      <c r="M72" s="216"/>
      <c r="O72" s="229" t="s">
        <v>309</v>
      </c>
      <c r="P72" s="229">
        <v>98.188018580000005</v>
      </c>
      <c r="Q72" s="227"/>
      <c r="R72" s="152"/>
      <c r="S72" s="241"/>
      <c r="T72" s="246"/>
      <c r="U72" s="246"/>
      <c r="V72" s="246"/>
      <c r="W72" s="246"/>
      <c r="X72" s="246"/>
      <c r="Y72" s="233"/>
      <c r="Z72" s="241" t="s">
        <v>664</v>
      </c>
      <c r="AA72" s="241">
        <v>879666125.38999999</v>
      </c>
      <c r="AB72" s="241">
        <v>1183</v>
      </c>
      <c r="AC72" s="241">
        <v>164</v>
      </c>
      <c r="AD72" s="241">
        <v>5952</v>
      </c>
      <c r="AE72" s="241">
        <v>1</v>
      </c>
      <c r="AF72" s="241"/>
      <c r="AG72" s="241" t="s">
        <v>668</v>
      </c>
      <c r="AH72" s="241">
        <v>0</v>
      </c>
      <c r="AI72" s="241">
        <v>0</v>
      </c>
      <c r="AJ72" s="241">
        <v>0</v>
      </c>
      <c r="AK72" s="241">
        <v>0</v>
      </c>
      <c r="AL72" s="241">
        <v>1</v>
      </c>
      <c r="AM72" s="233"/>
      <c r="AN72" s="241" t="s">
        <v>664</v>
      </c>
      <c r="AO72" s="241">
        <v>1182991595.76</v>
      </c>
      <c r="AP72" s="241">
        <v>1708</v>
      </c>
      <c r="AQ72" s="241">
        <v>213</v>
      </c>
      <c r="AR72" s="241">
        <v>5397</v>
      </c>
      <c r="AS72" s="241">
        <v>1</v>
      </c>
      <c r="AT72" s="233"/>
      <c r="AU72" s="241" t="s">
        <v>664</v>
      </c>
      <c r="AV72" s="241">
        <v>12324040</v>
      </c>
      <c r="AW72" s="241">
        <v>17</v>
      </c>
      <c r="AX72" s="241">
        <v>7</v>
      </c>
      <c r="AY72" s="241">
        <v>241</v>
      </c>
      <c r="AZ72" s="241">
        <v>1</v>
      </c>
      <c r="BA72" s="233"/>
      <c r="BB72" s="241" t="s">
        <v>664</v>
      </c>
      <c r="BC72" s="241">
        <v>489911569.50999999</v>
      </c>
      <c r="BD72" s="241">
        <v>740</v>
      </c>
      <c r="BE72" s="241">
        <v>159</v>
      </c>
      <c r="BF72" s="241">
        <v>5000</v>
      </c>
      <c r="BG72" s="241">
        <v>1</v>
      </c>
      <c r="BH72" s="235" t="s">
        <v>668</v>
      </c>
      <c r="BI72" s="241">
        <v>0</v>
      </c>
      <c r="BJ72" s="241">
        <v>0</v>
      </c>
      <c r="BK72" s="241">
        <v>0</v>
      </c>
      <c r="BL72" s="241">
        <v>162</v>
      </c>
      <c r="BM72" s="241">
        <v>1</v>
      </c>
      <c r="BN72" s="241"/>
      <c r="BO72" s="235"/>
      <c r="BP72" s="251"/>
      <c r="BQ72" s="251"/>
      <c r="BR72" s="235"/>
    </row>
    <row r="73" spans="1:70" x14ac:dyDescent="0.25">
      <c r="A73" s="83"/>
      <c r="B73" s="181" t="s">
        <v>406</v>
      </c>
      <c r="C73" s="184">
        <v>42550</v>
      </c>
      <c r="D73" s="181">
        <v>130.66139737</v>
      </c>
      <c r="E73" s="211">
        <v>1</v>
      </c>
      <c r="F73" s="201"/>
      <c r="G73" s="211" t="s">
        <v>519</v>
      </c>
      <c r="H73" s="211">
        <v>32986.75135454</v>
      </c>
      <c r="I73" s="158"/>
      <c r="J73" s="3"/>
      <c r="K73" s="216"/>
      <c r="L73" s="216"/>
      <c r="M73" s="216"/>
      <c r="O73" s="229" t="s">
        <v>519</v>
      </c>
      <c r="P73" s="229">
        <v>34379.27063644</v>
      </c>
      <c r="Q73" s="227"/>
      <c r="R73" s="152"/>
      <c r="S73" s="235"/>
      <c r="T73" s="235"/>
      <c r="U73" s="235"/>
      <c r="V73" s="235"/>
      <c r="W73" s="235"/>
      <c r="X73" s="235"/>
      <c r="Y73" s="233"/>
      <c r="Z73" s="241" t="s">
        <v>665</v>
      </c>
      <c r="AA73" s="241">
        <v>48220319.969999999</v>
      </c>
      <c r="AB73" s="241">
        <v>78</v>
      </c>
      <c r="AC73" s="241">
        <v>15</v>
      </c>
      <c r="AD73" s="241">
        <v>1034</v>
      </c>
      <c r="AE73" s="241">
        <v>1</v>
      </c>
      <c r="AF73" s="241"/>
      <c r="AG73" s="241" t="s">
        <v>669</v>
      </c>
      <c r="AH73" s="241">
        <v>385875439.755</v>
      </c>
      <c r="AI73" s="241">
        <v>722</v>
      </c>
      <c r="AJ73" s="241">
        <v>130</v>
      </c>
      <c r="AK73" s="241">
        <v>4540</v>
      </c>
      <c r="AL73" s="241">
        <v>1</v>
      </c>
      <c r="AM73" s="233"/>
      <c r="AN73" s="241" t="s">
        <v>665</v>
      </c>
      <c r="AO73" s="241">
        <v>75692119.480000004</v>
      </c>
      <c r="AP73" s="241">
        <v>144</v>
      </c>
      <c r="AQ73" s="241">
        <v>26</v>
      </c>
      <c r="AR73" s="241">
        <v>904</v>
      </c>
      <c r="AS73" s="241">
        <v>1</v>
      </c>
      <c r="AT73" s="233"/>
      <c r="AU73" s="241" t="s">
        <v>665</v>
      </c>
      <c r="AV73" s="241">
        <v>0</v>
      </c>
      <c r="AW73" s="241">
        <v>0</v>
      </c>
      <c r="AX73" s="241">
        <v>0</v>
      </c>
      <c r="AY73" s="241">
        <v>40</v>
      </c>
      <c r="AZ73" s="241">
        <v>1</v>
      </c>
      <c r="BA73" s="233"/>
      <c r="BB73" s="241" t="s">
        <v>665</v>
      </c>
      <c r="BC73" s="241">
        <v>758679222.38</v>
      </c>
      <c r="BD73" s="241">
        <v>1137</v>
      </c>
      <c r="BE73" s="241">
        <v>60</v>
      </c>
      <c r="BF73" s="241">
        <v>13588</v>
      </c>
      <c r="BG73" s="241">
        <v>1</v>
      </c>
      <c r="BH73" s="235" t="s">
        <v>669</v>
      </c>
      <c r="BI73" s="241">
        <v>610489804.67499995</v>
      </c>
      <c r="BJ73" s="241">
        <v>1424</v>
      </c>
      <c r="BK73" s="241">
        <v>133</v>
      </c>
      <c r="BL73" s="241">
        <v>5886</v>
      </c>
      <c r="BM73" s="241">
        <v>1</v>
      </c>
      <c r="BN73" s="241"/>
      <c r="BO73" s="235"/>
      <c r="BP73" s="251"/>
      <c r="BQ73" s="251"/>
      <c r="BR73" s="235"/>
    </row>
    <row r="74" spans="1:70" x14ac:dyDescent="0.25">
      <c r="A74" s="83"/>
      <c r="B74" s="181" t="s">
        <v>414</v>
      </c>
      <c r="C74" s="184">
        <v>39604</v>
      </c>
      <c r="D74" s="181">
        <v>233.37</v>
      </c>
      <c r="E74" s="211">
        <v>1</v>
      </c>
      <c r="F74" s="201"/>
      <c r="G74" s="211" t="s">
        <v>520</v>
      </c>
      <c r="H74" s="211">
        <v>7301.65172325</v>
      </c>
      <c r="I74" s="158"/>
      <c r="J74" s="3"/>
      <c r="K74" s="216"/>
      <c r="L74" s="216"/>
      <c r="M74" s="216"/>
      <c r="O74" s="229" t="s">
        <v>520</v>
      </c>
      <c r="P74" s="229">
        <v>6577.9518647799996</v>
      </c>
      <c r="Q74" s="227"/>
      <c r="R74" s="152"/>
      <c r="S74" s="235"/>
      <c r="T74" s="235"/>
      <c r="U74" s="235"/>
      <c r="V74" s="235"/>
      <c r="W74" s="235"/>
      <c r="X74" s="235"/>
      <c r="Y74" s="233"/>
      <c r="Z74" s="241" t="s">
        <v>666</v>
      </c>
      <c r="AA74" s="241">
        <v>15584602.5</v>
      </c>
      <c r="AB74" s="241">
        <v>30</v>
      </c>
      <c r="AC74" s="241">
        <v>12</v>
      </c>
      <c r="AD74" s="241">
        <v>839</v>
      </c>
      <c r="AE74" s="241">
        <v>1</v>
      </c>
      <c r="AF74" s="241"/>
      <c r="AG74" s="241" t="s">
        <v>670</v>
      </c>
      <c r="AH74" s="241">
        <v>3393890427.5100002</v>
      </c>
      <c r="AI74" s="241">
        <v>10050</v>
      </c>
      <c r="AJ74" s="241">
        <v>542</v>
      </c>
      <c r="AK74" s="241">
        <v>34393</v>
      </c>
      <c r="AL74" s="241">
        <v>1</v>
      </c>
      <c r="AM74" s="233"/>
      <c r="AN74" s="241" t="s">
        <v>666</v>
      </c>
      <c r="AO74" s="241">
        <v>16616185.0075</v>
      </c>
      <c r="AP74" s="241">
        <v>33</v>
      </c>
      <c r="AQ74" s="241">
        <v>14</v>
      </c>
      <c r="AR74" s="241">
        <v>560</v>
      </c>
      <c r="AS74" s="241">
        <v>1</v>
      </c>
      <c r="AT74" s="233"/>
      <c r="AU74" s="241" t="s">
        <v>666</v>
      </c>
      <c r="AV74" s="241">
        <v>2080285</v>
      </c>
      <c r="AW74" s="241">
        <v>4</v>
      </c>
      <c r="AX74" s="241">
        <v>4</v>
      </c>
      <c r="AY74" s="241">
        <v>34</v>
      </c>
      <c r="AZ74" s="241">
        <v>1</v>
      </c>
      <c r="BA74" s="233"/>
      <c r="BB74" s="241" t="s">
        <v>666</v>
      </c>
      <c r="BC74" s="241">
        <v>429898498.59750003</v>
      </c>
      <c r="BD74" s="241">
        <v>1359</v>
      </c>
      <c r="BE74" s="241">
        <v>54</v>
      </c>
      <c r="BF74" s="241">
        <v>13782</v>
      </c>
      <c r="BG74" s="241">
        <v>1</v>
      </c>
      <c r="BH74" s="235" t="s">
        <v>670</v>
      </c>
      <c r="BI74" s="241">
        <v>1706507516.53</v>
      </c>
      <c r="BJ74" s="241">
        <v>4988</v>
      </c>
      <c r="BK74" s="241">
        <v>665</v>
      </c>
      <c r="BL74" s="241">
        <v>34041</v>
      </c>
      <c r="BM74" s="241">
        <v>1</v>
      </c>
      <c r="BN74" s="241"/>
      <c r="BO74" s="235"/>
      <c r="BP74" s="251"/>
      <c r="BQ74" s="235"/>
      <c r="BR74" s="235"/>
    </row>
    <row r="75" spans="1:70" x14ac:dyDescent="0.25">
      <c r="A75" s="83"/>
      <c r="B75" s="181" t="s">
        <v>221</v>
      </c>
      <c r="C75" s="184">
        <v>38716</v>
      </c>
      <c r="D75" s="181">
        <v>18207.32</v>
      </c>
      <c r="E75" s="211">
        <v>1</v>
      </c>
      <c r="F75" s="207"/>
      <c r="G75" s="211" t="s">
        <v>521</v>
      </c>
      <c r="H75" s="211">
        <v>5399.7643567599998</v>
      </c>
      <c r="I75" s="158"/>
      <c r="J75" s="3"/>
      <c r="K75" s="216"/>
      <c r="L75" s="216"/>
      <c r="M75" s="216"/>
      <c r="O75" s="229" t="s">
        <v>521</v>
      </c>
      <c r="P75" s="229">
        <v>5711.6984410900004</v>
      </c>
      <c r="Q75" s="227"/>
      <c r="S75" s="242"/>
      <c r="T75" s="245"/>
      <c r="U75" s="245"/>
      <c r="V75" s="245"/>
      <c r="W75" s="245"/>
      <c r="X75" s="245"/>
      <c r="Y75" s="233"/>
      <c r="Z75" s="241" t="s">
        <v>667</v>
      </c>
      <c r="AA75" s="241">
        <v>6596070</v>
      </c>
      <c r="AB75" s="241">
        <v>105</v>
      </c>
      <c r="AC75" s="241">
        <v>10</v>
      </c>
      <c r="AD75" s="241">
        <v>3045</v>
      </c>
      <c r="AE75" s="241">
        <v>1</v>
      </c>
      <c r="AF75" s="241"/>
      <c r="AG75" s="241" t="s">
        <v>671</v>
      </c>
      <c r="AH75" s="241">
        <v>0</v>
      </c>
      <c r="AI75" s="241">
        <v>0</v>
      </c>
      <c r="AJ75" s="241">
        <v>0</v>
      </c>
      <c r="AK75" s="241">
        <v>0</v>
      </c>
      <c r="AL75" s="241">
        <v>1</v>
      </c>
      <c r="AM75" s="233"/>
      <c r="AN75" s="241" t="s">
        <v>667</v>
      </c>
      <c r="AO75" s="241">
        <v>18030842.5</v>
      </c>
      <c r="AP75" s="241">
        <v>289</v>
      </c>
      <c r="AQ75" s="241">
        <v>19</v>
      </c>
      <c r="AR75" s="241">
        <v>3761</v>
      </c>
      <c r="AS75" s="241">
        <v>1</v>
      </c>
      <c r="AT75" s="233"/>
      <c r="AU75" s="241" t="s">
        <v>667</v>
      </c>
      <c r="AV75" s="241">
        <v>0</v>
      </c>
      <c r="AW75" s="241">
        <v>0</v>
      </c>
      <c r="AX75" s="241">
        <v>0</v>
      </c>
      <c r="AY75" s="241">
        <v>140</v>
      </c>
      <c r="AZ75" s="241">
        <v>1</v>
      </c>
      <c r="BA75" s="233"/>
      <c r="BB75" s="241" t="s">
        <v>667</v>
      </c>
      <c r="BC75" s="241">
        <v>65628634</v>
      </c>
      <c r="BD75" s="241">
        <v>1138</v>
      </c>
      <c r="BE75" s="241">
        <v>175</v>
      </c>
      <c r="BF75" s="241">
        <v>9382</v>
      </c>
      <c r="BG75" s="241">
        <v>1</v>
      </c>
      <c r="BH75" s="235" t="s">
        <v>671</v>
      </c>
      <c r="BI75" s="241">
        <v>0</v>
      </c>
      <c r="BJ75" s="241">
        <v>0</v>
      </c>
      <c r="BK75" s="241">
        <v>0</v>
      </c>
      <c r="BL75" s="241">
        <v>0</v>
      </c>
      <c r="BM75" s="241">
        <v>1</v>
      </c>
      <c r="BN75" s="241"/>
      <c r="BO75" s="244" t="s">
        <v>445</v>
      </c>
      <c r="BP75" s="252" t="s">
        <v>629</v>
      </c>
      <c r="BQ75" s="252" t="s">
        <v>630</v>
      </c>
      <c r="BR75" s="252" t="s">
        <v>631</v>
      </c>
    </row>
    <row r="76" spans="1:70" x14ac:dyDescent="0.25">
      <c r="B76" s="181" t="s">
        <v>230</v>
      </c>
      <c r="C76" s="184">
        <v>38709</v>
      </c>
      <c r="D76" s="181">
        <v>34691.21</v>
      </c>
      <c r="E76" s="211">
        <v>1</v>
      </c>
      <c r="F76" s="197"/>
      <c r="G76" s="211" t="s">
        <v>518</v>
      </c>
      <c r="H76" s="211">
        <v>34930.662307090002</v>
      </c>
      <c r="I76" s="158"/>
      <c r="J76" s="3"/>
      <c r="K76" s="216"/>
      <c r="L76" s="216"/>
      <c r="M76" s="216"/>
      <c r="O76" s="229" t="s">
        <v>518</v>
      </c>
      <c r="P76" s="229">
        <v>35874.738052729997</v>
      </c>
      <c r="Q76" s="227"/>
      <c r="R76" s="152"/>
      <c r="S76" s="241"/>
      <c r="T76" s="246"/>
      <c r="U76" s="246"/>
      <c r="V76" s="246"/>
      <c r="W76" s="246"/>
      <c r="X76" s="246"/>
      <c r="Y76" s="233"/>
      <c r="Z76" s="241" t="s">
        <v>668</v>
      </c>
      <c r="AA76" s="241">
        <v>0</v>
      </c>
      <c r="AB76" s="241">
        <v>0</v>
      </c>
      <c r="AC76" s="241">
        <v>0</v>
      </c>
      <c r="AD76" s="241">
        <v>0</v>
      </c>
      <c r="AE76" s="241">
        <v>1</v>
      </c>
      <c r="AF76" s="241"/>
      <c r="AG76" s="241" t="s">
        <v>672</v>
      </c>
      <c r="AH76" s="241">
        <v>4382732372.9200001</v>
      </c>
      <c r="AI76" s="241">
        <v>11986</v>
      </c>
      <c r="AJ76" s="241">
        <v>416</v>
      </c>
      <c r="AK76" s="241">
        <v>47334</v>
      </c>
      <c r="AL76" s="241">
        <v>1</v>
      </c>
      <c r="AM76" s="233"/>
      <c r="AN76" s="241" t="s">
        <v>668</v>
      </c>
      <c r="AO76" s="241">
        <v>0</v>
      </c>
      <c r="AP76" s="241">
        <v>0</v>
      </c>
      <c r="AQ76" s="241">
        <v>0</v>
      </c>
      <c r="AR76" s="241">
        <v>0</v>
      </c>
      <c r="AS76" s="241">
        <v>1</v>
      </c>
      <c r="AT76" s="233"/>
      <c r="AU76" s="241" t="s">
        <v>668</v>
      </c>
      <c r="AV76" s="241">
        <v>0</v>
      </c>
      <c r="AW76" s="241">
        <v>0</v>
      </c>
      <c r="AX76" s="241">
        <v>0</v>
      </c>
      <c r="AY76" s="241">
        <v>0</v>
      </c>
      <c r="AZ76" s="241">
        <v>1</v>
      </c>
      <c r="BA76" s="233"/>
      <c r="BB76" s="241" t="s">
        <v>668</v>
      </c>
      <c r="BC76" s="241">
        <v>572118.4</v>
      </c>
      <c r="BD76" s="241">
        <v>37</v>
      </c>
      <c r="BE76" s="241">
        <v>4</v>
      </c>
      <c r="BF76" s="241">
        <v>2952</v>
      </c>
      <c r="BG76" s="241">
        <v>1</v>
      </c>
      <c r="BH76" s="233" t="s">
        <v>672</v>
      </c>
      <c r="BI76" s="241">
        <v>1202394222.3299999</v>
      </c>
      <c r="BJ76" s="241">
        <v>3611</v>
      </c>
      <c r="BK76" s="241">
        <v>507</v>
      </c>
      <c r="BL76" s="241">
        <v>35419</v>
      </c>
      <c r="BM76" s="241">
        <v>1</v>
      </c>
      <c r="BN76" s="241"/>
      <c r="BO76" s="235"/>
      <c r="BP76" s="251">
        <v>1026681347773.1925</v>
      </c>
      <c r="BQ76" s="251">
        <v>3095245</v>
      </c>
      <c r="BR76" s="251">
        <v>429226</v>
      </c>
    </row>
    <row r="77" spans="1:70" x14ac:dyDescent="0.25">
      <c r="B77" s="181" t="s">
        <v>239</v>
      </c>
      <c r="C77" s="184">
        <v>38713</v>
      </c>
      <c r="D77" s="181">
        <v>1846.94</v>
      </c>
      <c r="E77" s="211">
        <v>1</v>
      </c>
      <c r="F77" s="197"/>
      <c r="G77" s="211" t="s">
        <v>540</v>
      </c>
      <c r="H77" s="211">
        <v>1128.0147454099999</v>
      </c>
      <c r="I77" s="158"/>
      <c r="J77" s="3"/>
      <c r="K77" s="216"/>
      <c r="L77" s="216"/>
      <c r="M77" s="216"/>
      <c r="O77" s="229" t="s">
        <v>540</v>
      </c>
      <c r="P77" s="229">
        <v>1106.06714945</v>
      </c>
      <c r="Q77" s="227"/>
      <c r="R77" s="152"/>
      <c r="S77" s="241"/>
      <c r="T77" s="246"/>
      <c r="U77" s="246"/>
      <c r="V77" s="246"/>
      <c r="W77" s="246"/>
      <c r="X77" s="246"/>
      <c r="Y77" s="233"/>
      <c r="Z77" s="241" t="s">
        <v>669</v>
      </c>
      <c r="AA77" s="241">
        <v>6608359016.7749996</v>
      </c>
      <c r="AB77" s="241">
        <v>12520</v>
      </c>
      <c r="AC77" s="241">
        <v>3796</v>
      </c>
      <c r="AD77" s="241">
        <v>87074</v>
      </c>
      <c r="AE77" s="241">
        <v>1</v>
      </c>
      <c r="AF77" s="241"/>
      <c r="AG77" s="241" t="s">
        <v>673</v>
      </c>
      <c r="AH77" s="241">
        <v>0</v>
      </c>
      <c r="AI77" s="241">
        <v>0</v>
      </c>
      <c r="AJ77" s="241">
        <v>0</v>
      </c>
      <c r="AK77" s="241">
        <v>0</v>
      </c>
      <c r="AL77" s="241">
        <v>1</v>
      </c>
      <c r="AM77" s="233"/>
      <c r="AN77" s="241" t="s">
        <v>669</v>
      </c>
      <c r="AO77" s="241">
        <v>5397041668.9650002</v>
      </c>
      <c r="AP77" s="241">
        <v>10556</v>
      </c>
      <c r="AQ77" s="241">
        <v>2350</v>
      </c>
      <c r="AR77" s="241">
        <v>80294</v>
      </c>
      <c r="AS77" s="241">
        <v>1</v>
      </c>
      <c r="AT77" s="233"/>
      <c r="AU77" s="241" t="s">
        <v>669</v>
      </c>
      <c r="AV77" s="241">
        <v>197039347.39500001</v>
      </c>
      <c r="AW77" s="241">
        <v>398</v>
      </c>
      <c r="AX77" s="241">
        <v>108</v>
      </c>
      <c r="AY77" s="241">
        <v>3726</v>
      </c>
      <c r="AZ77" s="241">
        <v>1</v>
      </c>
      <c r="BA77" s="233"/>
      <c r="BB77" s="241" t="s">
        <v>669</v>
      </c>
      <c r="BC77" s="241">
        <v>8995508839.3449993</v>
      </c>
      <c r="BD77" s="241">
        <v>21348</v>
      </c>
      <c r="BE77" s="241">
        <v>3713</v>
      </c>
      <c r="BF77" s="241">
        <v>139112</v>
      </c>
      <c r="BG77" s="241">
        <v>1</v>
      </c>
      <c r="BH77" s="233" t="s">
        <v>673</v>
      </c>
      <c r="BI77" s="241">
        <v>0</v>
      </c>
      <c r="BJ77" s="241">
        <v>0</v>
      </c>
      <c r="BK77" s="241">
        <v>0</v>
      </c>
      <c r="BL77" s="241">
        <v>0</v>
      </c>
      <c r="BM77" s="241">
        <v>1</v>
      </c>
      <c r="BN77" s="241"/>
      <c r="BO77" s="235"/>
      <c r="BP77" s="235"/>
      <c r="BQ77" s="235"/>
      <c r="BR77" s="235"/>
    </row>
    <row r="78" spans="1:70" x14ac:dyDescent="0.25">
      <c r="A78" s="144"/>
      <c r="B78" s="181" t="s">
        <v>86</v>
      </c>
      <c r="C78" s="184">
        <v>41849</v>
      </c>
      <c r="D78" s="181">
        <v>22461.45680964</v>
      </c>
      <c r="E78" s="211">
        <v>1</v>
      </c>
      <c r="F78" s="197"/>
      <c r="G78" s="211" t="s">
        <v>515</v>
      </c>
      <c r="H78" s="211">
        <v>33007.299322270002</v>
      </c>
      <c r="I78" s="158"/>
      <c r="J78" s="63"/>
      <c r="K78" s="216"/>
      <c r="L78" s="216"/>
      <c r="M78" s="216"/>
      <c r="O78" s="229" t="s">
        <v>515</v>
      </c>
      <c r="P78" s="229">
        <v>27743.490277239998</v>
      </c>
      <c r="Q78" s="227"/>
      <c r="R78" s="152"/>
      <c r="S78" s="241"/>
      <c r="T78" s="246"/>
      <c r="U78" s="246"/>
      <c r="V78" s="246"/>
      <c r="W78" s="246"/>
      <c r="X78" s="246"/>
      <c r="Y78" s="233"/>
      <c r="Z78" s="241" t="s">
        <v>670</v>
      </c>
      <c r="AA78" s="241">
        <v>40445090003.419998</v>
      </c>
      <c r="AB78" s="241">
        <v>119758</v>
      </c>
      <c r="AC78" s="241">
        <v>22276</v>
      </c>
      <c r="AD78" s="241">
        <v>738950</v>
      </c>
      <c r="AE78" s="241">
        <v>1</v>
      </c>
      <c r="AF78" s="241"/>
      <c r="AG78" s="241"/>
      <c r="AH78" s="241"/>
      <c r="AI78" s="241"/>
      <c r="AJ78" s="241"/>
      <c r="AK78" s="241"/>
      <c r="AL78" s="241"/>
      <c r="AM78" s="233"/>
      <c r="AN78" s="241" t="s">
        <v>670</v>
      </c>
      <c r="AO78" s="241">
        <v>21830575559.959999</v>
      </c>
      <c r="AP78" s="241">
        <v>67352</v>
      </c>
      <c r="AQ78" s="241">
        <v>13385</v>
      </c>
      <c r="AR78" s="241">
        <v>763231</v>
      </c>
      <c r="AS78" s="241">
        <v>1</v>
      </c>
      <c r="AT78" s="233"/>
      <c r="AU78" s="241" t="s">
        <v>670</v>
      </c>
      <c r="AV78" s="241">
        <v>1245416102.26</v>
      </c>
      <c r="AW78" s="241">
        <v>3728</v>
      </c>
      <c r="AX78" s="241">
        <v>1106</v>
      </c>
      <c r="AY78" s="241">
        <v>35478</v>
      </c>
      <c r="AZ78" s="241">
        <v>1</v>
      </c>
      <c r="BA78" s="233"/>
      <c r="BB78" s="241" t="s">
        <v>670</v>
      </c>
      <c r="BC78" s="241">
        <v>39277313844.620003</v>
      </c>
      <c r="BD78" s="241">
        <v>115758</v>
      </c>
      <c r="BE78" s="241">
        <v>20412</v>
      </c>
      <c r="BF78" s="241">
        <v>765767</v>
      </c>
      <c r="BG78" s="241">
        <v>1</v>
      </c>
      <c r="BH78" s="233"/>
      <c r="BI78" s="241"/>
      <c r="BJ78" s="241"/>
      <c r="BK78" s="241"/>
      <c r="BL78" s="241"/>
      <c r="BM78" s="241"/>
      <c r="BN78" s="241"/>
      <c r="BO78" s="244" t="s">
        <v>464</v>
      </c>
      <c r="BP78" s="252" t="s">
        <v>629</v>
      </c>
      <c r="BQ78" s="252" t="s">
        <v>630</v>
      </c>
      <c r="BR78" s="252" t="s">
        <v>631</v>
      </c>
    </row>
    <row r="79" spans="1:70" x14ac:dyDescent="0.25">
      <c r="A79" s="144"/>
      <c r="B79" s="181" t="s">
        <v>246</v>
      </c>
      <c r="C79" s="184">
        <v>43347</v>
      </c>
      <c r="D79" s="181">
        <v>28871.375256529998</v>
      </c>
      <c r="E79" s="211">
        <v>1</v>
      </c>
      <c r="F79" s="197"/>
      <c r="G79" s="211" t="s">
        <v>517</v>
      </c>
      <c r="H79" s="211">
        <v>71466.085693779998</v>
      </c>
      <c r="I79" s="158"/>
      <c r="J79" s="63"/>
      <c r="K79" s="216"/>
      <c r="L79" s="216"/>
      <c r="M79" s="216"/>
      <c r="O79" s="229" t="s">
        <v>517</v>
      </c>
      <c r="P79" s="229">
        <v>72646.322641930004</v>
      </c>
      <c r="Q79" s="227"/>
      <c r="R79" s="152"/>
      <c r="S79" s="241"/>
      <c r="T79" s="246"/>
      <c r="U79" s="246"/>
      <c r="V79" s="246"/>
      <c r="W79" s="246"/>
      <c r="X79" s="246"/>
      <c r="Y79" s="233"/>
      <c r="Z79" s="241" t="s">
        <v>671</v>
      </c>
      <c r="AA79" s="241">
        <v>0</v>
      </c>
      <c r="AB79" s="241">
        <v>0</v>
      </c>
      <c r="AC79" s="241">
        <v>0</v>
      </c>
      <c r="AD79" s="241">
        <v>0</v>
      </c>
      <c r="AE79" s="241">
        <v>1</v>
      </c>
      <c r="AF79" s="241"/>
      <c r="AG79" s="241"/>
      <c r="AH79" s="241"/>
      <c r="AI79" s="241"/>
      <c r="AJ79" s="241"/>
      <c r="AK79" s="241"/>
      <c r="AL79" s="241"/>
      <c r="AM79" s="233"/>
      <c r="AN79" s="241" t="s">
        <v>671</v>
      </c>
      <c r="AO79" s="241">
        <v>0</v>
      </c>
      <c r="AP79" s="241">
        <v>0</v>
      </c>
      <c r="AQ79" s="241">
        <v>0</v>
      </c>
      <c r="AR79" s="241">
        <v>0</v>
      </c>
      <c r="AS79" s="241">
        <v>1</v>
      </c>
      <c r="AT79" s="233"/>
      <c r="AU79" s="241" t="s">
        <v>671</v>
      </c>
      <c r="AV79" s="241">
        <v>0</v>
      </c>
      <c r="AW79" s="241">
        <v>0</v>
      </c>
      <c r="AX79" s="241">
        <v>0</v>
      </c>
      <c r="AY79" s="241">
        <v>0</v>
      </c>
      <c r="AZ79" s="241">
        <v>1</v>
      </c>
      <c r="BA79" s="233"/>
      <c r="BB79" s="241" t="s">
        <v>671</v>
      </c>
      <c r="BC79" s="241">
        <v>0</v>
      </c>
      <c r="BD79" s="241">
        <v>0</v>
      </c>
      <c r="BE79" s="241">
        <v>0</v>
      </c>
      <c r="BF79" s="241">
        <v>0</v>
      </c>
      <c r="BG79" s="241">
        <v>1</v>
      </c>
      <c r="BH79" s="233"/>
      <c r="BI79" s="241"/>
      <c r="BJ79" s="241"/>
      <c r="BK79" s="241"/>
      <c r="BL79" s="241"/>
      <c r="BM79" s="241"/>
      <c r="BN79" s="241"/>
      <c r="BO79" s="239"/>
      <c r="BP79" s="251">
        <v>4154622814.8499999</v>
      </c>
      <c r="BQ79" s="251">
        <v>234476</v>
      </c>
      <c r="BR79" s="251">
        <v>19440</v>
      </c>
    </row>
    <row r="80" spans="1:70" x14ac:dyDescent="0.25">
      <c r="A80" s="144"/>
      <c r="B80" s="181" t="s">
        <v>250</v>
      </c>
      <c r="C80" s="184">
        <v>37970</v>
      </c>
      <c r="D80" s="181">
        <v>1201.19</v>
      </c>
      <c r="E80" s="211">
        <v>1</v>
      </c>
      <c r="F80" s="197"/>
      <c r="G80" s="211" t="s">
        <v>513</v>
      </c>
      <c r="H80" s="211">
        <v>36926.573819069999</v>
      </c>
      <c r="I80" s="158"/>
      <c r="J80" s="3"/>
      <c r="K80" s="216"/>
      <c r="L80" s="216"/>
      <c r="M80" s="216"/>
      <c r="O80" s="229" t="s">
        <v>513</v>
      </c>
      <c r="P80" s="229">
        <v>37655.043379690003</v>
      </c>
      <c r="Q80" s="227"/>
      <c r="R80" s="148" t="s">
        <v>424</v>
      </c>
      <c r="S80" s="241"/>
      <c r="T80" s="246"/>
      <c r="U80" s="246"/>
      <c r="V80" s="246"/>
      <c r="W80" s="246"/>
      <c r="X80" s="246"/>
      <c r="Y80" s="233"/>
      <c r="Z80" s="233" t="s">
        <v>672</v>
      </c>
      <c r="AA80" s="233">
        <v>46631718798.339996</v>
      </c>
      <c r="AB80" s="233">
        <v>129234</v>
      </c>
      <c r="AC80" s="233">
        <v>18220</v>
      </c>
      <c r="AD80" s="233">
        <v>948927</v>
      </c>
      <c r="AE80" s="233">
        <v>1</v>
      </c>
      <c r="AF80" s="233"/>
      <c r="AG80" s="233"/>
      <c r="AH80" s="233"/>
      <c r="AI80" s="233"/>
      <c r="AJ80" s="233"/>
      <c r="AK80" s="233"/>
      <c r="AL80" s="233"/>
      <c r="AM80" s="233"/>
      <c r="AN80" s="233" t="s">
        <v>672</v>
      </c>
      <c r="AO80" s="233">
        <v>20959859572.560001</v>
      </c>
      <c r="AP80" s="233">
        <v>61607</v>
      </c>
      <c r="AQ80" s="233">
        <v>9527</v>
      </c>
      <c r="AR80" s="233">
        <v>895547</v>
      </c>
      <c r="AS80" s="233">
        <v>1</v>
      </c>
      <c r="AT80" s="233"/>
      <c r="AU80" s="233" t="s">
        <v>672</v>
      </c>
      <c r="AV80" s="233">
        <v>1918953947.77</v>
      </c>
      <c r="AW80" s="233">
        <v>5456</v>
      </c>
      <c r="AX80" s="233">
        <v>925</v>
      </c>
      <c r="AY80" s="233">
        <v>42541</v>
      </c>
      <c r="AZ80" s="233">
        <v>1</v>
      </c>
      <c r="BA80" s="233"/>
      <c r="BB80" s="233" t="s">
        <v>672</v>
      </c>
      <c r="BC80" s="233">
        <v>26868508572.990002</v>
      </c>
      <c r="BD80" s="233">
        <v>80815</v>
      </c>
      <c r="BE80" s="233">
        <v>13408</v>
      </c>
      <c r="BF80" s="233">
        <v>773931</v>
      </c>
      <c r="BG80" s="233">
        <v>1</v>
      </c>
      <c r="BH80" s="233"/>
      <c r="BI80" s="233"/>
      <c r="BJ80" s="233"/>
      <c r="BK80" s="233"/>
      <c r="BL80" s="233"/>
      <c r="BM80" s="233"/>
      <c r="BN80" s="233"/>
      <c r="BO80" s="235"/>
      <c r="BP80" s="235"/>
      <c r="BQ80" s="235"/>
      <c r="BR80" s="235"/>
    </row>
    <row r="81" spans="1:70" x14ac:dyDescent="0.25">
      <c r="A81" s="144"/>
      <c r="B81" s="181" t="s">
        <v>44</v>
      </c>
      <c r="C81" s="184">
        <v>42594</v>
      </c>
      <c r="D81" s="181">
        <v>82603.124167989998</v>
      </c>
      <c r="E81" s="211">
        <v>1</v>
      </c>
      <c r="F81" s="197"/>
      <c r="G81" s="211" t="s">
        <v>512</v>
      </c>
      <c r="H81" s="211">
        <v>48397.154210070003</v>
      </c>
      <c r="I81" s="158"/>
      <c r="J81" s="3"/>
      <c r="K81" s="216"/>
      <c r="L81" s="216"/>
      <c r="M81" s="216"/>
      <c r="O81" s="229" t="s">
        <v>512</v>
      </c>
      <c r="P81" s="229">
        <v>45302.954052640001</v>
      </c>
      <c r="Q81" s="227"/>
      <c r="R81" s="152"/>
      <c r="S81" s="241"/>
      <c r="T81" s="246"/>
      <c r="U81" s="246"/>
      <c r="V81" s="246"/>
      <c r="W81" s="246"/>
      <c r="X81" s="246"/>
      <c r="Y81" s="233"/>
      <c r="Z81" s="233" t="s">
        <v>673</v>
      </c>
      <c r="AA81" s="233">
        <v>0</v>
      </c>
      <c r="AB81" s="233">
        <v>0</v>
      </c>
      <c r="AC81" s="233">
        <v>0</v>
      </c>
      <c r="AD81" s="233">
        <v>0</v>
      </c>
      <c r="AE81" s="233">
        <v>1</v>
      </c>
      <c r="AF81" s="233"/>
      <c r="AG81" s="233"/>
      <c r="AH81" s="233"/>
      <c r="AI81" s="233"/>
      <c r="AJ81" s="233"/>
      <c r="AK81" s="233"/>
      <c r="AL81" s="233"/>
      <c r="AM81" s="233"/>
      <c r="AN81" s="233" t="s">
        <v>673</v>
      </c>
      <c r="AO81" s="233">
        <v>0</v>
      </c>
      <c r="AP81" s="233">
        <v>0</v>
      </c>
      <c r="AQ81" s="233">
        <v>0</v>
      </c>
      <c r="AR81" s="233">
        <v>0</v>
      </c>
      <c r="AS81" s="233">
        <v>1</v>
      </c>
      <c r="AT81" s="233"/>
      <c r="AU81" s="233" t="s">
        <v>673</v>
      </c>
      <c r="AV81" s="233">
        <v>0</v>
      </c>
      <c r="AW81" s="233">
        <v>0</v>
      </c>
      <c r="AX81" s="233">
        <v>0</v>
      </c>
      <c r="AY81" s="233">
        <v>0</v>
      </c>
      <c r="AZ81" s="233">
        <v>1</v>
      </c>
      <c r="BA81" s="233"/>
      <c r="BB81" s="233" t="s">
        <v>673</v>
      </c>
      <c r="BC81" s="233">
        <v>0</v>
      </c>
      <c r="BD81" s="233">
        <v>0</v>
      </c>
      <c r="BE81" s="233">
        <v>0</v>
      </c>
      <c r="BF81" s="233">
        <v>0</v>
      </c>
      <c r="BG81" s="233">
        <v>1</v>
      </c>
      <c r="BH81" s="233"/>
      <c r="BI81" s="233"/>
      <c r="BJ81" s="233"/>
      <c r="BK81" s="233"/>
      <c r="BL81" s="233"/>
      <c r="BM81" s="233"/>
      <c r="BN81" s="233"/>
      <c r="BO81" s="244" t="s">
        <v>446</v>
      </c>
      <c r="BP81" s="252" t="s">
        <v>629</v>
      </c>
      <c r="BQ81" s="252" t="s">
        <v>630</v>
      </c>
      <c r="BR81" s="252" t="s">
        <v>631</v>
      </c>
    </row>
    <row r="82" spans="1:70" x14ac:dyDescent="0.25">
      <c r="A82" s="144"/>
      <c r="B82" s="181" t="s">
        <v>621</v>
      </c>
      <c r="C82" s="184">
        <v>42115</v>
      </c>
      <c r="D82" s="181">
        <v>1374.4866460000001</v>
      </c>
      <c r="E82" s="211">
        <v>1</v>
      </c>
      <c r="F82" s="197"/>
      <c r="G82" s="211" t="s">
        <v>511</v>
      </c>
      <c r="H82" s="211">
        <v>22127.760742729999</v>
      </c>
      <c r="I82" s="158"/>
      <c r="J82" s="152"/>
      <c r="K82" s="216"/>
      <c r="L82" s="216"/>
      <c r="M82" s="216"/>
      <c r="O82" s="229" t="s">
        <v>511</v>
      </c>
      <c r="P82" s="229">
        <v>23786.653991480001</v>
      </c>
      <c r="Q82" s="227"/>
      <c r="R82" s="152"/>
      <c r="S82" s="241"/>
      <c r="T82" s="246"/>
      <c r="U82" s="246"/>
      <c r="V82" s="246"/>
      <c r="W82" s="246"/>
      <c r="X82" s="246"/>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5"/>
      <c r="BP82" s="251">
        <v>843004441909.8009</v>
      </c>
      <c r="BQ82" s="251">
        <v>2994115</v>
      </c>
      <c r="BR82" s="251">
        <v>448426</v>
      </c>
    </row>
    <row r="83" spans="1:70" x14ac:dyDescent="0.25">
      <c r="A83" s="14"/>
      <c r="B83" s="181" t="s">
        <v>622</v>
      </c>
      <c r="C83" s="184">
        <v>42118</v>
      </c>
      <c r="D83" s="181">
        <v>1225.1600000000001</v>
      </c>
      <c r="E83" s="211">
        <v>1</v>
      </c>
      <c r="F83" s="200"/>
      <c r="G83" s="211" t="s">
        <v>310</v>
      </c>
      <c r="H83" s="211">
        <v>64063.817360809997</v>
      </c>
      <c r="I83" s="158"/>
      <c r="J83" s="152"/>
      <c r="K83" s="216"/>
      <c r="L83" s="216"/>
      <c r="M83" s="216"/>
      <c r="O83" s="229" t="s">
        <v>310</v>
      </c>
      <c r="P83" s="229">
        <v>60807.874549289998</v>
      </c>
      <c r="Q83" s="227"/>
      <c r="R83" s="152"/>
      <c r="S83" s="241"/>
      <c r="T83" s="246"/>
      <c r="U83" s="246"/>
      <c r="V83" s="246"/>
      <c r="W83" s="246"/>
      <c r="X83" s="246"/>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5"/>
      <c r="BP83" s="235"/>
      <c r="BQ83" s="235"/>
      <c r="BR83" s="235"/>
    </row>
    <row r="84" spans="1:70" x14ac:dyDescent="0.25">
      <c r="A84" s="144"/>
      <c r="B84" s="181" t="s">
        <v>533</v>
      </c>
      <c r="C84" s="184">
        <v>44523</v>
      </c>
      <c r="D84" s="181">
        <v>69047.79430845</v>
      </c>
      <c r="E84" s="211">
        <v>1</v>
      </c>
      <c r="F84" s="201"/>
      <c r="G84" s="211" t="s">
        <v>311</v>
      </c>
      <c r="H84" s="211">
        <v>4297.6585854699997</v>
      </c>
      <c r="I84" s="158"/>
      <c r="J84" s="152"/>
      <c r="K84" s="216"/>
      <c r="L84" s="216"/>
      <c r="M84" s="216"/>
      <c r="O84" s="229" t="s">
        <v>311</v>
      </c>
      <c r="P84" s="229">
        <v>4300.3073271699996</v>
      </c>
      <c r="Q84" s="227"/>
      <c r="R84" s="152"/>
      <c r="S84" s="241"/>
      <c r="T84" s="246"/>
      <c r="U84" s="246"/>
      <c r="V84" s="246"/>
      <c r="W84" s="246"/>
      <c r="X84" s="246"/>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44" t="s">
        <v>447</v>
      </c>
      <c r="BP84" s="252" t="s">
        <v>629</v>
      </c>
      <c r="BQ84" s="252" t="s">
        <v>630</v>
      </c>
      <c r="BR84" s="252" t="s">
        <v>631</v>
      </c>
    </row>
    <row r="85" spans="1:70" x14ac:dyDescent="0.25">
      <c r="A85" s="144"/>
      <c r="B85" s="181" t="s">
        <v>60</v>
      </c>
      <c r="C85" s="184">
        <v>39590</v>
      </c>
      <c r="D85" s="181">
        <v>77308.45</v>
      </c>
      <c r="E85" s="211">
        <v>1</v>
      </c>
      <c r="F85" s="201"/>
      <c r="G85" s="211" t="s">
        <v>312</v>
      </c>
      <c r="H85" s="211">
        <v>70475.017329440001</v>
      </c>
      <c r="I85" s="158"/>
      <c r="J85" s="152"/>
      <c r="K85" s="216"/>
      <c r="L85" s="216"/>
      <c r="M85" s="216"/>
      <c r="O85" s="229" t="s">
        <v>312</v>
      </c>
      <c r="P85" s="229">
        <v>67464.688530629996</v>
      </c>
      <c r="Q85" s="227"/>
      <c r="R85" s="152"/>
      <c r="S85" s="241"/>
      <c r="T85" s="246"/>
      <c r="U85" s="246"/>
      <c r="V85" s="246"/>
      <c r="W85" s="246"/>
      <c r="X85" s="246"/>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5"/>
      <c r="BP85" s="251">
        <v>2723358245.4299998</v>
      </c>
      <c r="BQ85" s="251">
        <v>264013</v>
      </c>
      <c r="BR85" s="251">
        <v>20184</v>
      </c>
    </row>
    <row r="86" spans="1:70" x14ac:dyDescent="0.25">
      <c r="A86" s="144"/>
      <c r="B86" s="181" t="s">
        <v>264</v>
      </c>
      <c r="C86" s="184">
        <v>42032</v>
      </c>
      <c r="D86" s="181">
        <v>695.5143372</v>
      </c>
      <c r="E86" s="211">
        <v>1</v>
      </c>
      <c r="F86" s="201"/>
      <c r="G86" s="211" t="s">
        <v>313</v>
      </c>
      <c r="H86" s="211">
        <v>13488.56165422</v>
      </c>
      <c r="I86" s="158"/>
      <c r="J86" s="152"/>
      <c r="K86" s="216"/>
      <c r="L86" s="216"/>
      <c r="M86" s="216"/>
      <c r="O86" s="229" t="s">
        <v>313</v>
      </c>
      <c r="P86" s="229">
        <v>13398.43546493</v>
      </c>
      <c r="Q86" s="227"/>
      <c r="R86" s="152"/>
      <c r="S86" s="241"/>
      <c r="T86" s="246"/>
      <c r="U86" s="246"/>
      <c r="V86" s="246"/>
      <c r="W86" s="246"/>
      <c r="X86" s="246"/>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row>
    <row r="87" spans="1:70" x14ac:dyDescent="0.25">
      <c r="A87" s="146"/>
      <c r="B87" s="181" t="s">
        <v>269</v>
      </c>
      <c r="C87" s="184">
        <v>43125</v>
      </c>
      <c r="D87" s="181">
        <v>10936.001684839999</v>
      </c>
      <c r="E87" s="211">
        <v>1</v>
      </c>
      <c r="F87" s="201"/>
      <c r="G87" s="211" t="s">
        <v>541</v>
      </c>
      <c r="H87" s="211">
        <v>18611.201248040001</v>
      </c>
      <c r="I87" s="158"/>
      <c r="J87" s="152"/>
      <c r="K87" s="216"/>
      <c r="L87" s="216"/>
      <c r="M87" s="216"/>
      <c r="O87" s="229" t="s">
        <v>541</v>
      </c>
      <c r="P87" s="229">
        <v>18333.013624070001</v>
      </c>
      <c r="Q87" s="227"/>
      <c r="R87" s="152"/>
      <c r="S87" s="241"/>
      <c r="T87" s="246"/>
      <c r="U87" s="246"/>
      <c r="V87" s="246"/>
      <c r="W87" s="246"/>
      <c r="X87" s="246"/>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44" t="s">
        <v>462</v>
      </c>
      <c r="BP87" s="252" t="s">
        <v>632</v>
      </c>
      <c r="BQ87" s="233"/>
      <c r="BR87" s="233"/>
    </row>
    <row r="88" spans="1:70" x14ac:dyDescent="0.25">
      <c r="A88" s="146"/>
      <c r="B88" s="181" t="s">
        <v>272</v>
      </c>
      <c r="C88" s="184">
        <v>39381</v>
      </c>
      <c r="D88" s="181">
        <v>70277.3</v>
      </c>
      <c r="E88" s="211">
        <v>1</v>
      </c>
      <c r="F88" s="197"/>
      <c r="G88" s="211" t="s">
        <v>542</v>
      </c>
      <c r="H88" s="211">
        <v>19785.17805599</v>
      </c>
      <c r="I88" s="158"/>
      <c r="J88" s="152"/>
      <c r="K88" s="216"/>
      <c r="L88" s="216"/>
      <c r="M88" s="216"/>
      <c r="O88" s="229" t="s">
        <v>542</v>
      </c>
      <c r="P88" s="229">
        <v>19602.846147060001</v>
      </c>
      <c r="Q88" s="227"/>
      <c r="R88" s="152"/>
      <c r="S88" s="235"/>
      <c r="T88" s="235"/>
      <c r="U88" s="235"/>
      <c r="V88" s="235"/>
      <c r="W88" s="235"/>
      <c r="X88" s="235"/>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5"/>
      <c r="BP88" s="251">
        <v>136173</v>
      </c>
      <c r="BQ88" s="233"/>
      <c r="BR88" s="233"/>
    </row>
    <row r="89" spans="1:70" x14ac:dyDescent="0.25">
      <c r="A89" s="14"/>
      <c r="B89" s="181" t="s">
        <v>50</v>
      </c>
      <c r="C89" s="184">
        <v>44523</v>
      </c>
      <c r="D89" s="181">
        <v>35571.106306599999</v>
      </c>
      <c r="E89" s="211">
        <v>1</v>
      </c>
      <c r="F89" s="197"/>
      <c r="G89" s="211" t="s">
        <v>314</v>
      </c>
      <c r="H89" s="211">
        <v>901.03674081999998</v>
      </c>
      <c r="I89" s="158"/>
      <c r="J89" s="152"/>
      <c r="K89" s="216"/>
      <c r="L89" s="216"/>
      <c r="M89" s="216"/>
      <c r="O89" s="229" t="s">
        <v>314</v>
      </c>
      <c r="P89" s="229">
        <v>909.29757935999999</v>
      </c>
      <c r="Q89" s="227"/>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5"/>
      <c r="BP89" s="251"/>
      <c r="BQ89" s="233"/>
      <c r="BR89" s="233"/>
    </row>
    <row r="90" spans="1:70" x14ac:dyDescent="0.25">
      <c r="A90" s="144"/>
      <c r="B90" s="181" t="s">
        <v>96</v>
      </c>
      <c r="C90" s="184">
        <v>42129</v>
      </c>
      <c r="D90" s="181">
        <v>431.46959335999998</v>
      </c>
      <c r="E90" s="211">
        <v>1</v>
      </c>
      <c r="F90" s="201"/>
      <c r="G90" s="211" t="s">
        <v>316</v>
      </c>
      <c r="H90" s="211">
        <v>4006.9909008599998</v>
      </c>
      <c r="I90" s="158"/>
      <c r="J90" s="152"/>
      <c r="K90" s="216"/>
      <c r="L90" s="216"/>
      <c r="M90" s="216"/>
      <c r="O90" s="229" t="s">
        <v>316</v>
      </c>
      <c r="P90" s="229">
        <v>3810.7853485800001</v>
      </c>
      <c r="Q90" s="227"/>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44" t="s">
        <v>463</v>
      </c>
      <c r="BP90" s="252" t="s">
        <v>632</v>
      </c>
      <c r="BQ90" s="233"/>
      <c r="BR90" s="233"/>
    </row>
    <row r="91" spans="1:70" x14ac:dyDescent="0.25">
      <c r="A91" s="144"/>
      <c r="B91" s="181" t="s">
        <v>538</v>
      </c>
      <c r="C91" s="184">
        <v>42305</v>
      </c>
      <c r="D91" s="181">
        <v>18548.60542</v>
      </c>
      <c r="E91" s="211">
        <v>1</v>
      </c>
      <c r="F91" s="201"/>
      <c r="G91" s="211" t="s">
        <v>317</v>
      </c>
      <c r="H91" s="211">
        <v>12090.82346519</v>
      </c>
      <c r="I91" s="158"/>
      <c r="J91" s="152"/>
      <c r="K91" s="216"/>
      <c r="L91" s="216"/>
      <c r="M91" s="216"/>
      <c r="O91" s="229" t="s">
        <v>317</v>
      </c>
      <c r="P91" s="229">
        <v>11979.552374049999</v>
      </c>
      <c r="Q91" s="227"/>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5"/>
      <c r="BP91" s="251">
        <v>43011</v>
      </c>
      <c r="BQ91" s="233"/>
      <c r="BR91" s="233"/>
    </row>
    <row r="92" spans="1:70" x14ac:dyDescent="0.25">
      <c r="A92" s="144"/>
      <c r="B92" s="181" t="s">
        <v>302</v>
      </c>
      <c r="C92" s="184">
        <v>42334</v>
      </c>
      <c r="D92" s="181">
        <v>5012.4318484900004</v>
      </c>
      <c r="E92" s="211">
        <v>1</v>
      </c>
      <c r="F92" s="201"/>
      <c r="G92" s="211" t="s">
        <v>543</v>
      </c>
      <c r="H92" s="211">
        <v>707.17614833000005</v>
      </c>
      <c r="I92" s="158"/>
      <c r="J92" s="152"/>
      <c r="K92" s="216"/>
      <c r="L92" s="216"/>
      <c r="M92" s="216"/>
      <c r="O92" s="229" t="s">
        <v>543</v>
      </c>
      <c r="P92" s="229">
        <v>737.02923727999996</v>
      </c>
      <c r="Q92" s="227"/>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row>
    <row r="93" spans="1:70" x14ac:dyDescent="0.25">
      <c r="A93" s="146"/>
      <c r="B93" s="181" t="s">
        <v>307</v>
      </c>
      <c r="C93" s="184">
        <v>44526</v>
      </c>
      <c r="D93" s="181">
        <v>157.09659549</v>
      </c>
      <c r="E93" s="211">
        <v>1</v>
      </c>
      <c r="F93" s="201"/>
      <c r="G93" s="211" t="s">
        <v>544</v>
      </c>
      <c r="H93" s="211">
        <v>240.17644082999999</v>
      </c>
      <c r="I93" s="158"/>
      <c r="J93" s="152"/>
      <c r="K93" s="216"/>
      <c r="L93" s="216"/>
      <c r="M93" s="216"/>
      <c r="O93" s="229" t="s">
        <v>544</v>
      </c>
      <c r="P93" s="229">
        <v>216.37146315999999</v>
      </c>
      <c r="Q93" s="227"/>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row>
    <row r="94" spans="1:70" x14ac:dyDescent="0.25">
      <c r="B94" s="181" t="s">
        <v>520</v>
      </c>
      <c r="C94" s="184">
        <v>44508</v>
      </c>
      <c r="D94" s="181">
        <v>7541.0180898600001</v>
      </c>
      <c r="E94" s="211">
        <v>1</v>
      </c>
      <c r="F94" s="197"/>
      <c r="G94" s="211" t="s">
        <v>545</v>
      </c>
      <c r="H94" s="211">
        <v>5153.99157569</v>
      </c>
      <c r="I94" s="158"/>
      <c r="J94" s="152"/>
      <c r="K94" s="216"/>
      <c r="L94" s="216"/>
      <c r="M94" s="216"/>
      <c r="O94" s="229" t="s">
        <v>545</v>
      </c>
      <c r="P94" s="229">
        <v>5662.9239009299999</v>
      </c>
      <c r="Q94" s="227"/>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row>
    <row r="95" spans="1:70" x14ac:dyDescent="0.25">
      <c r="A95" s="14"/>
      <c r="B95" s="181" t="s">
        <v>517</v>
      </c>
      <c r="C95" s="184">
        <v>44503</v>
      </c>
      <c r="D95" s="181">
        <v>73903.513079380005</v>
      </c>
      <c r="E95" s="211">
        <v>1</v>
      </c>
      <c r="F95" s="197"/>
      <c r="G95" s="211" t="s">
        <v>546</v>
      </c>
      <c r="H95" s="211">
        <v>22947.96355402</v>
      </c>
      <c r="I95" s="158"/>
      <c r="J95" s="152"/>
      <c r="K95" s="216"/>
      <c r="L95" s="216"/>
      <c r="M95" s="216"/>
      <c r="O95" s="229" t="s">
        <v>546</v>
      </c>
      <c r="P95" s="229">
        <v>23495.777387390001</v>
      </c>
      <c r="Q95" s="227"/>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row>
    <row r="96" spans="1:70" x14ac:dyDescent="0.25">
      <c r="A96" s="144"/>
      <c r="B96" s="181" t="s">
        <v>310</v>
      </c>
      <c r="C96" s="184">
        <v>44523</v>
      </c>
      <c r="D96" s="181">
        <v>64566.393688769997</v>
      </c>
      <c r="E96" s="211">
        <v>1</v>
      </c>
      <c r="F96" s="201"/>
      <c r="G96" s="211" t="s">
        <v>547</v>
      </c>
      <c r="H96" s="211">
        <v>8058.2951256200004</v>
      </c>
      <c r="I96" s="158"/>
      <c r="J96" s="152"/>
      <c r="K96" s="216"/>
      <c r="L96" s="216"/>
      <c r="M96" s="216"/>
      <c r="O96" s="229" t="s">
        <v>547</v>
      </c>
      <c r="P96" s="229">
        <v>8106.9472909100004</v>
      </c>
      <c r="Q96" s="227"/>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row>
    <row r="97" spans="1:16" x14ac:dyDescent="0.25">
      <c r="A97" s="144"/>
      <c r="B97" s="181" t="s">
        <v>319</v>
      </c>
      <c r="C97" s="184">
        <v>43347</v>
      </c>
      <c r="D97" s="181">
        <v>11098.43</v>
      </c>
      <c r="E97" s="211">
        <v>1</v>
      </c>
      <c r="F97" s="201"/>
      <c r="G97" s="211" t="s">
        <v>548</v>
      </c>
      <c r="H97" s="211">
        <v>3910.9818645099999</v>
      </c>
      <c r="I97" s="158"/>
      <c r="K97" s="216"/>
      <c r="L97" s="216"/>
      <c r="M97" s="216"/>
      <c r="O97" s="229" t="s">
        <v>548</v>
      </c>
      <c r="P97" s="229">
        <v>4050.6597882400001</v>
      </c>
    </row>
    <row r="98" spans="1:16" x14ac:dyDescent="0.25">
      <c r="A98" s="144"/>
      <c r="B98" s="181" t="s">
        <v>321</v>
      </c>
      <c r="C98" s="184">
        <v>44260</v>
      </c>
      <c r="D98" s="181">
        <v>9171.36</v>
      </c>
      <c r="E98" s="211">
        <v>1</v>
      </c>
      <c r="F98" s="201"/>
      <c r="G98" s="211" t="s">
        <v>549</v>
      </c>
      <c r="H98" s="211">
        <v>2921.0723749899998</v>
      </c>
      <c r="I98" s="158"/>
      <c r="K98" s="216"/>
      <c r="L98" s="216"/>
      <c r="M98" s="216"/>
      <c r="O98" s="229" t="s">
        <v>549</v>
      </c>
      <c r="P98" s="229">
        <v>3009.7089328900001</v>
      </c>
    </row>
    <row r="99" spans="1:16" x14ac:dyDescent="0.25">
      <c r="A99" s="144"/>
      <c r="B99" s="181" t="s">
        <v>544</v>
      </c>
      <c r="C99" s="184">
        <v>44508</v>
      </c>
      <c r="D99" s="181">
        <v>248.05002397999999</v>
      </c>
      <c r="E99" s="211">
        <v>1</v>
      </c>
      <c r="F99" s="201"/>
      <c r="G99" s="211" t="s">
        <v>550</v>
      </c>
      <c r="H99" s="211">
        <v>6505.3983334200002</v>
      </c>
      <c r="I99" s="158"/>
      <c r="K99" s="216"/>
      <c r="L99" s="216"/>
      <c r="M99" s="216"/>
      <c r="O99" s="229" t="s">
        <v>550</v>
      </c>
      <c r="P99" s="229">
        <v>6531.01013788</v>
      </c>
    </row>
    <row r="100" spans="1:16" x14ac:dyDescent="0.25">
      <c r="B100" s="181" t="s">
        <v>545</v>
      </c>
      <c r="C100" s="184">
        <v>44503</v>
      </c>
      <c r="D100" s="181">
        <v>5788.3981418399999</v>
      </c>
      <c r="E100" s="211">
        <v>1</v>
      </c>
      <c r="F100" s="197"/>
      <c r="G100" s="211" t="s">
        <v>551</v>
      </c>
      <c r="H100" s="211">
        <v>31093.030364769998</v>
      </c>
      <c r="I100" s="158"/>
      <c r="K100" s="216"/>
      <c r="L100" s="216"/>
      <c r="M100" s="216"/>
      <c r="O100" s="229" t="s">
        <v>551</v>
      </c>
      <c r="P100" s="229">
        <v>34157.962448650003</v>
      </c>
    </row>
    <row r="101" spans="1:16" x14ac:dyDescent="0.25">
      <c r="B101" s="181" t="s">
        <v>546</v>
      </c>
      <c r="C101" s="184">
        <v>44467</v>
      </c>
      <c r="D101" s="181">
        <v>26340.367150819999</v>
      </c>
      <c r="E101" s="211">
        <v>1</v>
      </c>
      <c r="F101" s="201"/>
      <c r="G101" s="211" t="s">
        <v>552</v>
      </c>
      <c r="H101" s="211">
        <v>67913.571446129994</v>
      </c>
      <c r="I101" s="158"/>
      <c r="K101" s="216"/>
      <c r="L101" s="216"/>
      <c r="M101" s="216"/>
      <c r="O101" s="229" t="s">
        <v>552</v>
      </c>
      <c r="P101" s="229">
        <v>67136.479907050001</v>
      </c>
    </row>
    <row r="102" spans="1:16" x14ac:dyDescent="0.25">
      <c r="B102" s="181" t="s">
        <v>329</v>
      </c>
      <c r="C102" s="184">
        <v>41948</v>
      </c>
      <c r="D102" s="181">
        <v>15682.48</v>
      </c>
      <c r="E102" s="211">
        <v>1</v>
      </c>
      <c r="F102" s="197"/>
      <c r="G102" s="211" t="s">
        <v>553</v>
      </c>
      <c r="H102" s="211">
        <v>1061.0010674099999</v>
      </c>
      <c r="I102" s="158"/>
      <c r="K102" s="216"/>
      <c r="L102" s="216"/>
      <c r="M102" s="216"/>
      <c r="O102" s="229" t="s">
        <v>553</v>
      </c>
      <c r="P102" s="229">
        <v>1076.53495232</v>
      </c>
    </row>
    <row r="103" spans="1:16" x14ac:dyDescent="0.25">
      <c r="A103" s="14"/>
      <c r="B103" s="181" t="s">
        <v>509</v>
      </c>
      <c r="C103" s="184">
        <v>44439</v>
      </c>
      <c r="D103" s="181">
        <v>385.33127345000003</v>
      </c>
      <c r="E103" s="211">
        <v>1</v>
      </c>
      <c r="F103" s="201"/>
      <c r="G103" s="211" t="s">
        <v>509</v>
      </c>
      <c r="H103" s="211">
        <v>373.21048092000001</v>
      </c>
      <c r="I103" s="158"/>
      <c r="K103" s="216"/>
      <c r="L103" s="216"/>
      <c r="M103" s="216"/>
      <c r="O103" s="229" t="s">
        <v>509</v>
      </c>
      <c r="P103" s="229">
        <v>361.81820929999998</v>
      </c>
    </row>
    <row r="104" spans="1:16" x14ac:dyDescent="0.25">
      <c r="B104" s="181" t="s">
        <v>555</v>
      </c>
      <c r="C104" s="184">
        <v>44504</v>
      </c>
      <c r="D104" s="181">
        <v>8181.92670404</v>
      </c>
      <c r="E104" s="211">
        <v>1</v>
      </c>
      <c r="F104" s="201"/>
      <c r="G104" s="211" t="s">
        <v>554</v>
      </c>
      <c r="H104" s="211">
        <v>6091.3934246500003</v>
      </c>
      <c r="I104" s="158"/>
      <c r="K104" s="216"/>
      <c r="L104" s="216"/>
      <c r="M104" s="216"/>
      <c r="O104" s="229" t="s">
        <v>554</v>
      </c>
      <c r="P104" s="229">
        <v>6564.6652557899997</v>
      </c>
    </row>
    <row r="105" spans="1:16" x14ac:dyDescent="0.25">
      <c r="B105" s="181" t="s">
        <v>556</v>
      </c>
      <c r="C105" s="184">
        <v>44498</v>
      </c>
      <c r="D105" s="181">
        <v>1300</v>
      </c>
      <c r="E105" s="211">
        <v>1</v>
      </c>
      <c r="F105" s="201"/>
      <c r="G105" s="211" t="s">
        <v>555</v>
      </c>
      <c r="H105" s="211">
        <v>7302.3620470100004</v>
      </c>
      <c r="I105" s="158"/>
      <c r="K105" s="216"/>
      <c r="L105" s="216"/>
      <c r="M105" s="216"/>
      <c r="O105" s="229" t="s">
        <v>555</v>
      </c>
      <c r="P105" s="229">
        <v>8031.84495186</v>
      </c>
    </row>
    <row r="106" spans="1:16" x14ac:dyDescent="0.25">
      <c r="B106" s="181" t="s">
        <v>558</v>
      </c>
      <c r="C106" s="184">
        <v>44426</v>
      </c>
      <c r="D106" s="181">
        <v>7075.9582582200001</v>
      </c>
      <c r="E106" s="211">
        <v>1</v>
      </c>
      <c r="F106" s="201"/>
      <c r="G106" s="211" t="s">
        <v>556</v>
      </c>
      <c r="H106" s="211">
        <v>1152.1739130399999</v>
      </c>
      <c r="I106" s="158"/>
      <c r="K106" s="216"/>
      <c r="L106" s="216"/>
      <c r="M106" s="216"/>
      <c r="O106" s="229" t="s">
        <v>556</v>
      </c>
      <c r="P106" s="229">
        <v>1300</v>
      </c>
    </row>
    <row r="107" spans="1:16" x14ac:dyDescent="0.25">
      <c r="B107" s="181" t="s">
        <v>336</v>
      </c>
      <c r="C107" s="184">
        <v>42030</v>
      </c>
      <c r="D107" s="181">
        <v>36618.99</v>
      </c>
      <c r="E107" s="211">
        <v>1</v>
      </c>
      <c r="F107" s="201"/>
      <c r="G107" s="211" t="s">
        <v>557</v>
      </c>
      <c r="H107" s="211">
        <v>2383.8569371600001</v>
      </c>
      <c r="I107" s="158"/>
      <c r="K107" s="216"/>
      <c r="L107" s="216"/>
      <c r="M107" s="216"/>
      <c r="O107" s="229" t="s">
        <v>557</v>
      </c>
      <c r="P107" s="229">
        <v>1886.6513432500001</v>
      </c>
    </row>
    <row r="108" spans="1:16" x14ac:dyDescent="0.25">
      <c r="B108" s="181" t="s">
        <v>564</v>
      </c>
      <c r="C108" s="184">
        <v>44516</v>
      </c>
      <c r="D108" s="181">
        <v>18.358132139999999</v>
      </c>
      <c r="E108" s="211">
        <v>1</v>
      </c>
      <c r="F108" s="197"/>
      <c r="G108" s="211" t="s">
        <v>558</v>
      </c>
      <c r="H108" s="211">
        <v>6115.4389994900002</v>
      </c>
      <c r="I108" s="158"/>
      <c r="K108" s="216"/>
      <c r="L108" s="216"/>
      <c r="M108" s="216"/>
      <c r="O108" s="229" t="s">
        <v>558</v>
      </c>
      <c r="P108" s="229">
        <v>6408.4773775900003</v>
      </c>
    </row>
    <row r="109" spans="1:16" x14ac:dyDescent="0.25">
      <c r="B109" s="181" t="s">
        <v>568</v>
      </c>
      <c r="C109" s="184">
        <v>44487</v>
      </c>
      <c r="D109" s="181">
        <v>189.17597325</v>
      </c>
      <c r="E109" s="211">
        <v>1</v>
      </c>
      <c r="F109" s="197"/>
      <c r="G109" s="211" t="s">
        <v>559</v>
      </c>
      <c r="H109" s="211">
        <v>2553.5848688000001</v>
      </c>
      <c r="I109" s="158"/>
      <c r="K109" s="216"/>
      <c r="L109" s="216"/>
      <c r="M109" s="216"/>
      <c r="O109" s="229" t="s">
        <v>559</v>
      </c>
      <c r="P109" s="229">
        <v>3066.8144569599999</v>
      </c>
    </row>
    <row r="110" spans="1:16" x14ac:dyDescent="0.25">
      <c r="B110" s="181" t="s">
        <v>337</v>
      </c>
      <c r="C110" s="184">
        <v>43220</v>
      </c>
      <c r="D110" s="181">
        <v>34255.11</v>
      </c>
      <c r="E110" s="211">
        <v>1</v>
      </c>
      <c r="F110" s="197"/>
      <c r="G110" s="211" t="s">
        <v>560</v>
      </c>
      <c r="H110" s="211">
        <v>177.87055351000001</v>
      </c>
      <c r="I110" s="158"/>
      <c r="K110" s="216"/>
      <c r="L110" s="216"/>
      <c r="M110" s="216"/>
      <c r="O110" s="229" t="s">
        <v>560</v>
      </c>
      <c r="P110" s="229">
        <v>188.91711821000001</v>
      </c>
    </row>
    <row r="111" spans="1:16" x14ac:dyDescent="0.25">
      <c r="B111" s="181" t="s">
        <v>340</v>
      </c>
      <c r="C111" s="184">
        <v>42655</v>
      </c>
      <c r="D111" s="181">
        <v>9116.6</v>
      </c>
      <c r="E111" s="211">
        <v>1</v>
      </c>
      <c r="F111" s="197"/>
      <c r="G111" s="211" t="s">
        <v>561</v>
      </c>
      <c r="H111" s="211">
        <v>6172.20350624</v>
      </c>
      <c r="I111" s="158"/>
      <c r="K111" s="216"/>
      <c r="L111" s="216"/>
      <c r="M111" s="216"/>
      <c r="O111" s="229" t="s">
        <v>561</v>
      </c>
      <c r="P111" s="229">
        <v>6363.6734528500001</v>
      </c>
    </row>
    <row r="112" spans="1:16" x14ac:dyDescent="0.25">
      <c r="B112" s="181" t="s">
        <v>342</v>
      </c>
      <c r="C112" s="184">
        <v>42122</v>
      </c>
      <c r="D112" s="181">
        <v>15553.66</v>
      </c>
      <c r="E112" s="211">
        <v>1</v>
      </c>
      <c r="F112" s="197"/>
      <c r="G112" s="211" t="s">
        <v>562</v>
      </c>
      <c r="H112" s="211">
        <v>6919.1633598400003</v>
      </c>
      <c r="I112" s="158"/>
      <c r="K112" s="216"/>
      <c r="L112" s="216"/>
      <c r="M112" s="216"/>
      <c r="O112" s="229" t="s">
        <v>562</v>
      </c>
      <c r="P112" s="229">
        <v>6822.3042731400001</v>
      </c>
    </row>
    <row r="113" spans="2:16" x14ac:dyDescent="0.25">
      <c r="B113" s="181" t="s">
        <v>357</v>
      </c>
      <c r="C113" s="184">
        <v>43060</v>
      </c>
      <c r="D113" s="181">
        <v>47173.61</v>
      </c>
      <c r="E113" s="211">
        <v>1</v>
      </c>
      <c r="F113" s="197"/>
      <c r="G113" s="211" t="s">
        <v>563</v>
      </c>
      <c r="H113" s="211">
        <v>12458.485629950001</v>
      </c>
      <c r="I113" s="158"/>
      <c r="K113" s="216"/>
      <c r="L113" s="216"/>
      <c r="M113" s="216"/>
      <c r="O113" s="229" t="s">
        <v>563</v>
      </c>
      <c r="P113" s="229">
        <v>12703.52021113</v>
      </c>
    </row>
    <row r="114" spans="2:16" x14ac:dyDescent="0.25">
      <c r="B114" s="181" t="s">
        <v>362</v>
      </c>
      <c r="C114" s="184">
        <v>44246</v>
      </c>
      <c r="D114" s="181">
        <v>24260.82</v>
      </c>
      <c r="E114" s="211">
        <v>1</v>
      </c>
      <c r="F114" s="197"/>
      <c r="G114" s="211" t="s">
        <v>564</v>
      </c>
      <c r="H114" s="211">
        <v>17.1819837</v>
      </c>
      <c r="I114" s="158"/>
      <c r="K114" s="216"/>
      <c r="L114" s="216"/>
      <c r="M114" s="216"/>
      <c r="O114" s="229" t="s">
        <v>564</v>
      </c>
      <c r="P114" s="229">
        <v>17.117660610000001</v>
      </c>
    </row>
    <row r="115" spans="2:16" x14ac:dyDescent="0.25">
      <c r="B115" s="181" t="s">
        <v>363</v>
      </c>
      <c r="C115" s="184">
        <v>43165</v>
      </c>
      <c r="D115" s="181">
        <v>15739.25</v>
      </c>
      <c r="E115" s="211">
        <v>1</v>
      </c>
      <c r="F115" s="197"/>
      <c r="G115" s="211" t="s">
        <v>565</v>
      </c>
      <c r="H115" s="211">
        <v>8183.0015170899997</v>
      </c>
      <c r="I115" s="158"/>
      <c r="K115" s="216"/>
      <c r="L115" s="216"/>
      <c r="M115" s="216"/>
      <c r="O115" s="229" t="s">
        <v>565</v>
      </c>
      <c r="P115" s="229">
        <v>8555.8764315799999</v>
      </c>
    </row>
    <row r="116" spans="2:16" x14ac:dyDescent="0.25">
      <c r="B116" s="181" t="s">
        <v>585</v>
      </c>
      <c r="C116" s="184">
        <v>44287</v>
      </c>
      <c r="D116" s="181">
        <v>19454.349999999999</v>
      </c>
      <c r="E116" s="211">
        <v>1</v>
      </c>
      <c r="F116" s="197"/>
      <c r="G116" s="211" t="s">
        <v>566</v>
      </c>
      <c r="H116" s="211">
        <v>134.04744826999999</v>
      </c>
      <c r="I116" s="158"/>
      <c r="K116" s="216"/>
      <c r="L116" s="216"/>
      <c r="M116" s="216"/>
      <c r="O116" s="229" t="s">
        <v>566</v>
      </c>
      <c r="P116" s="229">
        <v>136.90279627999999</v>
      </c>
    </row>
    <row r="117" spans="2:16" x14ac:dyDescent="0.25">
      <c r="B117" s="181" t="s">
        <v>586</v>
      </c>
      <c r="C117" s="184">
        <v>44508</v>
      </c>
      <c r="D117" s="181">
        <v>9585.18</v>
      </c>
      <c r="E117" s="211">
        <v>1</v>
      </c>
      <c r="F117" s="197"/>
      <c r="G117" s="211" t="s">
        <v>567</v>
      </c>
      <c r="H117" s="211">
        <v>3424.9106509399999</v>
      </c>
      <c r="I117" s="158"/>
      <c r="K117" s="216"/>
      <c r="L117" s="216"/>
      <c r="M117" s="216"/>
      <c r="O117" s="229" t="s">
        <v>567</v>
      </c>
      <c r="P117" s="229">
        <v>3361.8137307100001</v>
      </c>
    </row>
    <row r="118" spans="2:16" x14ac:dyDescent="0.25">
      <c r="B118" s="181" t="s">
        <v>589</v>
      </c>
      <c r="C118" s="184">
        <v>44439</v>
      </c>
      <c r="D118" s="181">
        <v>11752.85</v>
      </c>
      <c r="E118" s="211">
        <v>1</v>
      </c>
      <c r="F118" s="197"/>
      <c r="G118" s="211" t="s">
        <v>568</v>
      </c>
      <c r="H118" s="211">
        <v>179.38504884</v>
      </c>
      <c r="I118" s="158"/>
      <c r="K118" s="216"/>
      <c r="L118" s="216"/>
      <c r="M118" s="216"/>
      <c r="O118" s="229" t="s">
        <v>568</v>
      </c>
      <c r="P118" s="229">
        <v>183.34642976000001</v>
      </c>
    </row>
    <row r="119" spans="2:16" x14ac:dyDescent="0.25">
      <c r="B119" s="181" t="s">
        <v>591</v>
      </c>
      <c r="C119" s="184">
        <v>44518</v>
      </c>
      <c r="D119" s="181">
        <v>6839.3</v>
      </c>
      <c r="E119" s="211">
        <v>1</v>
      </c>
      <c r="F119" s="197"/>
      <c r="G119" s="211" t="s">
        <v>569</v>
      </c>
      <c r="H119" s="211">
        <v>75424.023912730001</v>
      </c>
      <c r="I119" s="158"/>
      <c r="K119" s="216"/>
      <c r="L119" s="216"/>
      <c r="M119" s="216"/>
      <c r="O119" s="229" t="s">
        <v>569</v>
      </c>
      <c r="P119" s="229">
        <v>78627.816567200003</v>
      </c>
    </row>
    <row r="120" spans="2:16" x14ac:dyDescent="0.25">
      <c r="B120" s="181" t="s">
        <v>593</v>
      </c>
      <c r="C120" s="184">
        <v>44470</v>
      </c>
      <c r="D120" s="181">
        <v>11063.97</v>
      </c>
      <c r="E120" s="211">
        <v>1</v>
      </c>
      <c r="F120" s="197"/>
      <c r="G120" s="211" t="s">
        <v>570</v>
      </c>
      <c r="H120" s="211">
        <v>29390.830160289999</v>
      </c>
      <c r="I120" s="158"/>
      <c r="K120" s="216"/>
      <c r="L120" s="216"/>
      <c r="M120" s="216"/>
      <c r="O120" s="229" t="s">
        <v>570</v>
      </c>
      <c r="P120" s="229">
        <v>27781.876370040001</v>
      </c>
    </row>
    <row r="121" spans="2:16" x14ac:dyDescent="0.25">
      <c r="B121" s="181" t="s">
        <v>602</v>
      </c>
      <c r="C121" s="184">
        <v>44509</v>
      </c>
      <c r="D121" s="181">
        <v>4164.74</v>
      </c>
      <c r="E121" s="211">
        <v>1</v>
      </c>
      <c r="F121" s="197"/>
      <c r="G121" s="211" t="s">
        <v>571</v>
      </c>
      <c r="H121" s="211">
        <v>58196.627643699998</v>
      </c>
      <c r="I121" s="158"/>
      <c r="K121" s="216"/>
      <c r="L121" s="216"/>
      <c r="M121" s="216"/>
      <c r="O121" s="229" t="s">
        <v>571</v>
      </c>
      <c r="P121" s="229">
        <v>52811.87266981</v>
      </c>
    </row>
    <row r="122" spans="2:16" x14ac:dyDescent="0.25">
      <c r="B122" s="181" t="s">
        <v>607</v>
      </c>
      <c r="C122" s="184">
        <v>44516</v>
      </c>
      <c r="D122" s="181">
        <v>2495.5</v>
      </c>
      <c r="E122" s="211">
        <v>1</v>
      </c>
      <c r="F122" s="197"/>
      <c r="G122" s="211" t="s">
        <v>572</v>
      </c>
      <c r="H122" s="211">
        <v>14569.942516290001</v>
      </c>
      <c r="I122" s="158"/>
      <c r="K122" s="216"/>
      <c r="L122" s="216"/>
      <c r="M122" s="216"/>
      <c r="O122" s="229" t="s">
        <v>572</v>
      </c>
      <c r="P122" s="229">
        <v>14131.494561949999</v>
      </c>
    </row>
    <row r="123" spans="2:16" x14ac:dyDescent="0.25">
      <c r="B123" s="181" t="s">
        <v>610</v>
      </c>
      <c r="C123" s="184">
        <v>44510</v>
      </c>
      <c r="D123" s="181">
        <v>9351.33</v>
      </c>
      <c r="E123" s="211">
        <v>1</v>
      </c>
      <c r="F123" s="197"/>
      <c r="G123" s="211" t="s">
        <v>573</v>
      </c>
      <c r="H123" s="211">
        <v>108295.79992085</v>
      </c>
      <c r="I123" s="158"/>
      <c r="K123" s="216"/>
      <c r="L123" s="216"/>
      <c r="M123" s="216"/>
      <c r="O123" s="229" t="s">
        <v>573</v>
      </c>
      <c r="P123" s="229">
        <v>116601.09934638</v>
      </c>
    </row>
    <row r="124" spans="2:16" x14ac:dyDescent="0.25">
      <c r="B124" s="181" t="s">
        <v>371</v>
      </c>
      <c r="C124" s="184">
        <v>37469</v>
      </c>
      <c r="D124" s="181">
        <v>394.88</v>
      </c>
      <c r="E124" s="211">
        <v>1</v>
      </c>
      <c r="F124" s="197"/>
      <c r="G124" s="211" t="s">
        <v>574</v>
      </c>
      <c r="H124" s="211">
        <v>22016.911702410001</v>
      </c>
      <c r="I124" s="158"/>
      <c r="K124" s="216"/>
      <c r="L124" s="216"/>
      <c r="M124" s="216"/>
      <c r="O124" s="229" t="s">
        <v>574</v>
      </c>
      <c r="P124" s="229">
        <v>23468.146850749999</v>
      </c>
    </row>
    <row r="125" spans="2:16" x14ac:dyDescent="0.25">
      <c r="B125" s="181" t="s">
        <v>372</v>
      </c>
      <c r="C125" s="184">
        <v>38665</v>
      </c>
      <c r="D125" s="181">
        <v>225.62</v>
      </c>
      <c r="E125" s="211">
        <v>1</v>
      </c>
      <c r="F125" s="197"/>
      <c r="G125" s="211" t="s">
        <v>361</v>
      </c>
      <c r="H125" s="211">
        <v>6535.53</v>
      </c>
      <c r="I125" s="158"/>
      <c r="K125" s="216"/>
      <c r="L125" s="216"/>
      <c r="M125" s="216"/>
      <c r="O125" s="229" t="s">
        <v>361</v>
      </c>
      <c r="P125" s="229">
        <v>6180.33</v>
      </c>
    </row>
    <row r="126" spans="2:16" x14ac:dyDescent="0.25">
      <c r="B126" s="181" t="s">
        <v>374</v>
      </c>
      <c r="C126" s="184">
        <v>38624</v>
      </c>
      <c r="D126" s="181">
        <v>173.45</v>
      </c>
      <c r="E126" s="211">
        <v>1</v>
      </c>
      <c r="F126" s="197"/>
      <c r="G126" s="211" t="s">
        <v>362</v>
      </c>
      <c r="H126" s="211">
        <v>21810.48</v>
      </c>
      <c r="I126" s="158"/>
      <c r="K126" s="216"/>
      <c r="L126" s="216"/>
      <c r="M126" s="216"/>
      <c r="O126" s="229" t="s">
        <v>362</v>
      </c>
      <c r="P126" s="229">
        <v>21753.57</v>
      </c>
    </row>
    <row r="127" spans="2:16" x14ac:dyDescent="0.25">
      <c r="B127" s="181" t="s">
        <v>404</v>
      </c>
      <c r="C127" s="184">
        <v>41277</v>
      </c>
      <c r="D127" s="181">
        <v>2807.39</v>
      </c>
      <c r="E127" s="211">
        <v>1</v>
      </c>
      <c r="F127" s="197"/>
      <c r="G127" s="211" t="s">
        <v>363</v>
      </c>
      <c r="H127" s="211">
        <v>11210.66</v>
      </c>
      <c r="I127" s="158"/>
      <c r="K127" s="216"/>
      <c r="L127" s="216"/>
      <c r="M127" s="216"/>
      <c r="O127" s="229" t="s">
        <v>363</v>
      </c>
      <c r="P127" s="229">
        <v>11548.93</v>
      </c>
    </row>
    <row r="128" spans="2:16" x14ac:dyDescent="0.25">
      <c r="B128" s="181" t="s">
        <v>408</v>
      </c>
      <c r="C128" s="184">
        <v>42110</v>
      </c>
      <c r="D128" s="181">
        <v>522.89537319999999</v>
      </c>
      <c r="E128" s="211">
        <v>1</v>
      </c>
      <c r="F128" s="197"/>
      <c r="G128" s="211" t="s">
        <v>364</v>
      </c>
      <c r="H128" s="211">
        <v>17967.45</v>
      </c>
      <c r="I128" s="158"/>
      <c r="K128" s="216"/>
      <c r="L128" s="216"/>
      <c r="M128" s="216"/>
      <c r="O128" s="229" t="s">
        <v>364</v>
      </c>
      <c r="P128" s="229">
        <v>18085.46</v>
      </c>
    </row>
    <row r="129" spans="2:16" x14ac:dyDescent="0.25">
      <c r="B129" s="181" t="s">
        <v>204</v>
      </c>
      <c r="C129" s="184">
        <v>38713</v>
      </c>
      <c r="D129" s="181">
        <v>20229.37</v>
      </c>
      <c r="E129" s="211">
        <v>1</v>
      </c>
      <c r="F129" s="197"/>
      <c r="G129" s="211" t="s">
        <v>365</v>
      </c>
      <c r="H129" s="211">
        <v>7387.66</v>
      </c>
      <c r="I129" s="158"/>
      <c r="K129" s="216"/>
      <c r="L129" s="216"/>
      <c r="M129" s="216"/>
      <c r="O129" s="229" t="s">
        <v>365</v>
      </c>
      <c r="P129" s="229">
        <v>7012.5</v>
      </c>
    </row>
    <row r="130" spans="2:16" x14ac:dyDescent="0.25">
      <c r="B130" s="181" t="s">
        <v>208</v>
      </c>
      <c r="C130" s="184">
        <v>38677</v>
      </c>
      <c r="D130" s="181">
        <v>28766.959999999999</v>
      </c>
      <c r="E130" s="211">
        <v>1</v>
      </c>
      <c r="F130" s="197"/>
      <c r="G130" s="211" t="s">
        <v>366</v>
      </c>
      <c r="H130" s="211">
        <v>19609.5</v>
      </c>
      <c r="I130" s="158"/>
      <c r="K130" s="216"/>
      <c r="L130" s="216"/>
      <c r="M130" s="216"/>
      <c r="O130" s="229" t="s">
        <v>366</v>
      </c>
      <c r="P130" s="229">
        <v>19621.560000000001</v>
      </c>
    </row>
    <row r="131" spans="2:16" x14ac:dyDescent="0.25">
      <c r="B131" s="181" t="s">
        <v>209</v>
      </c>
      <c r="C131" s="184">
        <v>37432</v>
      </c>
      <c r="D131" s="181">
        <v>30613.119999999999</v>
      </c>
      <c r="E131" s="211">
        <v>1</v>
      </c>
      <c r="F131" s="197"/>
      <c r="G131" s="211" t="s">
        <v>367</v>
      </c>
      <c r="H131" s="211">
        <v>10997.7</v>
      </c>
      <c r="I131" s="158"/>
      <c r="K131" s="216"/>
      <c r="L131" s="216"/>
      <c r="M131" s="216"/>
      <c r="O131" s="229" t="s">
        <v>367</v>
      </c>
      <c r="P131" s="229">
        <v>11239.78</v>
      </c>
    </row>
    <row r="132" spans="2:16" x14ac:dyDescent="0.25">
      <c r="B132" s="181" t="s">
        <v>211</v>
      </c>
      <c r="C132" s="184">
        <v>38715</v>
      </c>
      <c r="D132" s="181">
        <v>17673.63</v>
      </c>
      <c r="E132" s="211">
        <v>1</v>
      </c>
      <c r="F132" s="197"/>
      <c r="G132" s="211" t="s">
        <v>368</v>
      </c>
      <c r="H132" s="211">
        <v>16107.94</v>
      </c>
      <c r="I132" s="158"/>
      <c r="K132" s="216"/>
      <c r="L132" s="216"/>
      <c r="M132" s="216"/>
      <c r="O132" s="229" t="s">
        <v>368</v>
      </c>
      <c r="P132" s="229">
        <v>16242.04</v>
      </c>
    </row>
    <row r="133" spans="2:16" x14ac:dyDescent="0.25">
      <c r="B133" s="181" t="s">
        <v>214</v>
      </c>
      <c r="C133" s="184">
        <v>38604</v>
      </c>
      <c r="D133" s="181">
        <v>28742.13</v>
      </c>
      <c r="E133" s="211">
        <v>1</v>
      </c>
      <c r="F133" s="197"/>
      <c r="G133" s="211" t="s">
        <v>575</v>
      </c>
      <c r="H133" s="211">
        <v>12119.12</v>
      </c>
      <c r="I133" s="158"/>
      <c r="K133" s="216"/>
      <c r="L133" s="216"/>
      <c r="M133" s="216"/>
      <c r="O133" s="229" t="s">
        <v>575</v>
      </c>
      <c r="P133" s="229">
        <v>12630.73</v>
      </c>
    </row>
    <row r="134" spans="2:16" x14ac:dyDescent="0.25">
      <c r="B134" s="181" t="s">
        <v>217</v>
      </c>
      <c r="C134" s="184">
        <v>38709</v>
      </c>
      <c r="D134" s="181">
        <v>2183.41</v>
      </c>
      <c r="E134" s="211">
        <v>1</v>
      </c>
      <c r="F134" s="197"/>
      <c r="G134" s="211" t="s">
        <v>576</v>
      </c>
      <c r="H134" s="211">
        <v>8398.83</v>
      </c>
      <c r="I134" s="158"/>
      <c r="K134" s="216"/>
      <c r="L134" s="216"/>
      <c r="M134" s="216"/>
      <c r="O134" s="229" t="s">
        <v>576</v>
      </c>
      <c r="P134" s="229">
        <v>7566.38</v>
      </c>
    </row>
    <row r="135" spans="2:16" x14ac:dyDescent="0.25">
      <c r="B135" s="181" t="s">
        <v>226</v>
      </c>
      <c r="C135" s="184">
        <v>38699</v>
      </c>
      <c r="D135" s="181">
        <v>28328.49</v>
      </c>
      <c r="E135" s="211">
        <v>1</v>
      </c>
      <c r="F135" s="197"/>
      <c r="G135" s="211" t="s">
        <v>577</v>
      </c>
      <c r="H135" s="211">
        <v>14909.99</v>
      </c>
      <c r="I135" s="158"/>
      <c r="K135" s="216"/>
      <c r="L135" s="216"/>
      <c r="M135" s="216"/>
      <c r="O135" s="229" t="s">
        <v>577</v>
      </c>
      <c r="P135" s="229">
        <v>15770.51</v>
      </c>
    </row>
    <row r="136" spans="2:16" x14ac:dyDescent="0.25">
      <c r="B136" s="181" t="s">
        <v>228</v>
      </c>
      <c r="C136" s="184">
        <v>38709</v>
      </c>
      <c r="D136" s="181">
        <v>1445.21</v>
      </c>
      <c r="E136" s="211">
        <v>1</v>
      </c>
      <c r="F136" s="197"/>
      <c r="G136" s="211" t="s">
        <v>578</v>
      </c>
      <c r="H136" s="211">
        <v>8409.42</v>
      </c>
      <c r="I136" s="158"/>
      <c r="K136" s="216"/>
      <c r="L136" s="216"/>
      <c r="M136" s="216"/>
      <c r="O136" s="229" t="s">
        <v>578</v>
      </c>
      <c r="P136" s="229">
        <v>8663.66</v>
      </c>
    </row>
    <row r="137" spans="2:16" x14ac:dyDescent="0.25">
      <c r="B137" s="181" t="s">
        <v>237</v>
      </c>
      <c r="C137" s="184">
        <v>38713</v>
      </c>
      <c r="D137" s="181">
        <v>1547.81</v>
      </c>
      <c r="E137" s="211">
        <v>1</v>
      </c>
      <c r="F137" s="197"/>
      <c r="G137" s="211" t="s">
        <v>579</v>
      </c>
      <c r="H137" s="211">
        <v>1127.97</v>
      </c>
      <c r="I137" s="158"/>
      <c r="K137" s="216"/>
      <c r="L137" s="216"/>
      <c r="M137" s="216"/>
      <c r="O137" s="229" t="s">
        <v>579</v>
      </c>
      <c r="P137" s="229">
        <v>1106.02</v>
      </c>
    </row>
    <row r="138" spans="2:16" x14ac:dyDescent="0.25">
      <c r="B138" s="181" t="s">
        <v>247</v>
      </c>
      <c r="C138" s="184">
        <v>41849</v>
      </c>
      <c r="D138" s="181">
        <v>4482.8823280400002</v>
      </c>
      <c r="E138" s="211">
        <v>1</v>
      </c>
      <c r="F138" s="197"/>
      <c r="G138" s="211" t="s">
        <v>580</v>
      </c>
      <c r="H138" s="211">
        <v>46199.62</v>
      </c>
      <c r="I138" s="158"/>
      <c r="K138" s="216"/>
      <c r="L138" s="216"/>
      <c r="M138" s="216"/>
      <c r="O138" s="229" t="s">
        <v>580</v>
      </c>
      <c r="P138" s="229">
        <v>44447.92</v>
      </c>
    </row>
    <row r="139" spans="2:16" x14ac:dyDescent="0.25">
      <c r="B139" s="181" t="s">
        <v>248</v>
      </c>
      <c r="C139" s="184">
        <v>41849</v>
      </c>
      <c r="D139" s="181">
        <v>4264.0820106800002</v>
      </c>
      <c r="E139" s="211">
        <v>1</v>
      </c>
      <c r="F139" s="197"/>
      <c r="G139" s="211" t="s">
        <v>581</v>
      </c>
      <c r="H139" s="211">
        <v>14116.96</v>
      </c>
      <c r="I139" s="158"/>
      <c r="K139" s="216"/>
      <c r="L139" s="216"/>
      <c r="M139" s="216"/>
      <c r="O139" s="229" t="s">
        <v>581</v>
      </c>
      <c r="P139" s="229">
        <v>14350.08</v>
      </c>
    </row>
    <row r="140" spans="2:16" x14ac:dyDescent="0.25">
      <c r="B140" s="181" t="s">
        <v>62</v>
      </c>
      <c r="C140" s="184">
        <v>44039</v>
      </c>
      <c r="D140" s="181">
        <v>6662.4654347699998</v>
      </c>
      <c r="E140" s="211">
        <v>1</v>
      </c>
      <c r="F140" s="197"/>
      <c r="G140" s="211" t="s">
        <v>582</v>
      </c>
      <c r="H140" s="211">
        <v>8863.06</v>
      </c>
      <c r="I140" s="158"/>
      <c r="K140" s="216"/>
      <c r="L140" s="216"/>
      <c r="M140" s="216"/>
      <c r="O140" s="229" t="s">
        <v>582</v>
      </c>
      <c r="P140" s="229">
        <v>8974.76</v>
      </c>
    </row>
    <row r="141" spans="2:16" x14ac:dyDescent="0.25">
      <c r="B141" s="181" t="s">
        <v>251</v>
      </c>
      <c r="C141" s="184">
        <v>38009</v>
      </c>
      <c r="D141" s="181">
        <v>999.63</v>
      </c>
      <c r="E141" s="211">
        <v>1</v>
      </c>
      <c r="F141" s="197"/>
      <c r="G141" s="211" t="s">
        <v>583</v>
      </c>
      <c r="H141" s="211">
        <v>9348.3700000000008</v>
      </c>
      <c r="I141" s="158"/>
      <c r="K141" s="216"/>
      <c r="L141" s="216"/>
      <c r="M141" s="216"/>
      <c r="O141" s="229" t="s">
        <v>583</v>
      </c>
      <c r="P141" s="229">
        <v>8828.56</v>
      </c>
    </row>
    <row r="142" spans="2:16" x14ac:dyDescent="0.25">
      <c r="B142" s="181" t="s">
        <v>623</v>
      </c>
      <c r="C142" s="184">
        <v>42118</v>
      </c>
      <c r="D142" s="181">
        <v>1238.74</v>
      </c>
      <c r="E142" s="211">
        <v>1</v>
      </c>
      <c r="F142" s="197"/>
      <c r="G142" s="211" t="s">
        <v>584</v>
      </c>
      <c r="H142" s="211">
        <v>46818.76</v>
      </c>
      <c r="I142" s="158"/>
      <c r="K142" s="216"/>
      <c r="L142" s="216"/>
      <c r="M142" s="216"/>
      <c r="O142" s="229" t="s">
        <v>584</v>
      </c>
      <c r="P142" s="229">
        <v>50693.82</v>
      </c>
    </row>
    <row r="143" spans="2:16" x14ac:dyDescent="0.25">
      <c r="B143" s="181" t="s">
        <v>258</v>
      </c>
      <c r="C143" s="184">
        <v>43348</v>
      </c>
      <c r="D143" s="181">
        <v>421.77493391000002</v>
      </c>
      <c r="E143" s="211">
        <v>1</v>
      </c>
      <c r="F143" s="197"/>
      <c r="G143" s="211" t="s">
        <v>585</v>
      </c>
      <c r="H143" s="211">
        <v>13031.62</v>
      </c>
      <c r="I143" s="158"/>
      <c r="K143" s="216"/>
      <c r="L143" s="216"/>
      <c r="M143" s="216"/>
      <c r="O143" s="229" t="s">
        <v>585</v>
      </c>
      <c r="P143" s="229">
        <v>13581.75</v>
      </c>
    </row>
    <row r="144" spans="2:16" x14ac:dyDescent="0.25">
      <c r="B144" s="181" t="s">
        <v>265</v>
      </c>
      <c r="C144" s="184">
        <v>41411</v>
      </c>
      <c r="D144" s="181">
        <v>2240.63</v>
      </c>
      <c r="E144" s="211">
        <v>1</v>
      </c>
      <c r="F144" s="197"/>
      <c r="G144" s="211" t="s">
        <v>586</v>
      </c>
      <c r="H144" s="211">
        <v>9280.93</v>
      </c>
      <c r="I144" s="158"/>
      <c r="K144" s="216"/>
      <c r="L144" s="216"/>
      <c r="M144" s="216"/>
      <c r="O144" s="229" t="s">
        <v>586</v>
      </c>
      <c r="P144" s="229">
        <v>8361.0499999999993</v>
      </c>
    </row>
    <row r="145" spans="2:16" x14ac:dyDescent="0.25">
      <c r="B145" s="181" t="s">
        <v>94</v>
      </c>
      <c r="C145" s="184">
        <v>39590</v>
      </c>
      <c r="D145" s="181">
        <v>42495.61</v>
      </c>
      <c r="E145" s="211">
        <v>1</v>
      </c>
      <c r="F145" s="197"/>
      <c r="G145" s="211" t="s">
        <v>587</v>
      </c>
      <c r="H145" s="211">
        <v>10939.54</v>
      </c>
      <c r="I145" s="158"/>
      <c r="K145" s="216"/>
      <c r="L145" s="216"/>
      <c r="M145" s="216"/>
      <c r="O145" s="229" t="s">
        <v>587</v>
      </c>
      <c r="P145" s="229">
        <v>12018.92</v>
      </c>
    </row>
    <row r="146" spans="2:16" x14ac:dyDescent="0.25">
      <c r="B146" s="181" t="s">
        <v>278</v>
      </c>
      <c r="C146" s="184">
        <v>44326</v>
      </c>
      <c r="D146" s="181">
        <v>26534.94</v>
      </c>
      <c r="E146" s="211">
        <v>1</v>
      </c>
      <c r="F146" s="197"/>
      <c r="G146" s="211" t="s">
        <v>588</v>
      </c>
      <c r="H146" s="211">
        <v>19734.669999999998</v>
      </c>
      <c r="I146" s="158"/>
      <c r="K146" s="216"/>
      <c r="L146" s="216"/>
      <c r="M146" s="216"/>
      <c r="O146" s="229" t="s">
        <v>588</v>
      </c>
      <c r="P146" s="229">
        <v>20205.78</v>
      </c>
    </row>
    <row r="147" spans="2:16" x14ac:dyDescent="0.25">
      <c r="B147" s="181" t="s">
        <v>285</v>
      </c>
      <c r="C147" s="184">
        <v>42521</v>
      </c>
      <c r="D147" s="181">
        <v>12393.618495070001</v>
      </c>
      <c r="E147" s="211">
        <v>1</v>
      </c>
      <c r="F147" s="197"/>
      <c r="G147" s="211" t="s">
        <v>589</v>
      </c>
      <c r="H147" s="211">
        <v>10778.74</v>
      </c>
      <c r="I147" s="158"/>
      <c r="K147" s="216"/>
      <c r="L147" s="216"/>
      <c r="M147" s="216"/>
      <c r="O147" s="229" t="s">
        <v>589</v>
      </c>
      <c r="P147" s="229">
        <v>10894.48</v>
      </c>
    </row>
    <row r="148" spans="2:16" x14ac:dyDescent="0.25">
      <c r="B148" s="181" t="s">
        <v>288</v>
      </c>
      <c r="C148" s="184">
        <v>42030</v>
      </c>
      <c r="D148" s="181">
        <v>42581.471937620001</v>
      </c>
      <c r="E148" s="211">
        <v>1</v>
      </c>
      <c r="F148" s="197"/>
      <c r="G148" s="211" t="s">
        <v>590</v>
      </c>
      <c r="H148" s="211">
        <v>8728.69</v>
      </c>
      <c r="I148" s="158"/>
      <c r="K148" s="216"/>
      <c r="L148" s="216"/>
      <c r="M148" s="216"/>
      <c r="O148" s="229" t="s">
        <v>590</v>
      </c>
      <c r="P148" s="229">
        <v>9040.43</v>
      </c>
    </row>
    <row r="149" spans="2:16" x14ac:dyDescent="0.25">
      <c r="B149" s="181" t="s">
        <v>289</v>
      </c>
      <c r="C149" s="184">
        <v>43125</v>
      </c>
      <c r="D149" s="181">
        <v>6026.6277274599997</v>
      </c>
      <c r="E149" s="211">
        <v>1</v>
      </c>
      <c r="F149" s="197"/>
      <c r="G149" s="211" t="s">
        <v>591</v>
      </c>
      <c r="H149" s="211">
        <v>6519.37</v>
      </c>
      <c r="I149" s="158"/>
      <c r="K149" s="216"/>
      <c r="L149" s="216"/>
      <c r="M149" s="216"/>
      <c r="O149" s="229" t="s">
        <v>591</v>
      </c>
      <c r="P149" s="229">
        <v>6717.19</v>
      </c>
    </row>
    <row r="150" spans="2:16" x14ac:dyDescent="0.25">
      <c r="B150" s="181" t="s">
        <v>70</v>
      </c>
      <c r="C150" s="184">
        <v>44221</v>
      </c>
      <c r="D150" s="181">
        <v>26624.575161000001</v>
      </c>
      <c r="E150" s="211">
        <v>1</v>
      </c>
      <c r="F150" s="197"/>
      <c r="G150" s="211" t="s">
        <v>592</v>
      </c>
      <c r="H150" s="211">
        <v>14765.06</v>
      </c>
      <c r="I150" s="158"/>
      <c r="K150" s="216"/>
      <c r="L150" s="216"/>
      <c r="M150" s="216"/>
      <c r="O150" s="229" t="s">
        <v>592</v>
      </c>
      <c r="P150" s="229">
        <v>14823.19</v>
      </c>
    </row>
    <row r="151" spans="2:16" x14ac:dyDescent="0.25">
      <c r="B151" s="181" t="s">
        <v>78</v>
      </c>
      <c r="C151" s="184">
        <v>43125</v>
      </c>
      <c r="D151" s="181">
        <v>48467.669364840003</v>
      </c>
      <c r="E151" s="211">
        <v>1</v>
      </c>
      <c r="F151" s="197"/>
      <c r="G151" s="211" t="s">
        <v>593</v>
      </c>
      <c r="H151" s="211">
        <v>9733.86</v>
      </c>
      <c r="I151" s="158"/>
      <c r="K151" s="216"/>
      <c r="L151" s="216"/>
      <c r="M151" s="216"/>
      <c r="O151" s="229" t="s">
        <v>593</v>
      </c>
      <c r="P151" s="229">
        <v>10692.92</v>
      </c>
    </row>
    <row r="152" spans="2:16" x14ac:dyDescent="0.25">
      <c r="B152" s="181" t="s">
        <v>80</v>
      </c>
      <c r="C152" s="184">
        <v>42222</v>
      </c>
      <c r="D152" s="181">
        <v>71088.506129760004</v>
      </c>
      <c r="E152" s="211">
        <v>1</v>
      </c>
      <c r="F152" s="197"/>
      <c r="G152" s="211" t="s">
        <v>594</v>
      </c>
      <c r="H152" s="211">
        <v>16046.22</v>
      </c>
      <c r="I152" s="158"/>
      <c r="K152" s="216"/>
      <c r="L152" s="216"/>
      <c r="M152" s="216"/>
      <c r="O152" s="229" t="s">
        <v>594</v>
      </c>
      <c r="P152" s="229">
        <v>15862.62</v>
      </c>
    </row>
    <row r="153" spans="2:16" x14ac:dyDescent="0.25">
      <c r="B153" s="181" t="s">
        <v>295</v>
      </c>
      <c r="C153" s="184">
        <v>43627</v>
      </c>
      <c r="D153" s="181">
        <v>3193.7852788199998</v>
      </c>
      <c r="E153" s="211">
        <v>1</v>
      </c>
      <c r="F153" s="197"/>
      <c r="G153" s="211" t="s">
        <v>595</v>
      </c>
      <c r="H153" s="211">
        <v>7962.56</v>
      </c>
      <c r="I153" s="158"/>
      <c r="K153" s="216"/>
      <c r="L153" s="216"/>
      <c r="M153" s="216"/>
      <c r="O153" s="229" t="s">
        <v>595</v>
      </c>
      <c r="P153" s="229">
        <v>8079.14</v>
      </c>
    </row>
    <row r="154" spans="2:16" x14ac:dyDescent="0.25">
      <c r="B154" s="181" t="s">
        <v>537</v>
      </c>
      <c r="C154" s="184">
        <v>42488</v>
      </c>
      <c r="D154" s="181">
        <v>19062.31522</v>
      </c>
      <c r="E154" s="211">
        <v>1</v>
      </c>
      <c r="F154" s="197"/>
      <c r="G154" s="211" t="s">
        <v>596</v>
      </c>
      <c r="H154" s="211">
        <v>3098.39</v>
      </c>
      <c r="I154" s="158"/>
      <c r="K154" s="216"/>
      <c r="L154" s="216"/>
      <c r="M154" s="216"/>
      <c r="O154" s="229" t="s">
        <v>596</v>
      </c>
      <c r="P154" s="229">
        <v>3003.81</v>
      </c>
    </row>
    <row r="155" spans="2:16" x14ac:dyDescent="0.25">
      <c r="B155" s="181" t="s">
        <v>299</v>
      </c>
      <c r="C155" s="184">
        <v>43165</v>
      </c>
      <c r="D155" s="181">
        <v>47641.71241624</v>
      </c>
      <c r="E155" s="211">
        <v>1</v>
      </c>
      <c r="F155" s="197"/>
      <c r="G155" s="211" t="s">
        <v>597</v>
      </c>
      <c r="H155" s="211">
        <v>10816.89</v>
      </c>
      <c r="I155" s="158"/>
      <c r="K155" s="216"/>
      <c r="L155" s="216"/>
      <c r="M155" s="216"/>
      <c r="O155" s="229" t="s">
        <v>597</v>
      </c>
      <c r="P155" s="229">
        <v>11657.31</v>
      </c>
    </row>
    <row r="156" spans="2:16" x14ac:dyDescent="0.25">
      <c r="B156" s="181" t="s">
        <v>300</v>
      </c>
      <c r="C156" s="184">
        <v>42374</v>
      </c>
      <c r="D156" s="181">
        <v>1792.3439825099999</v>
      </c>
      <c r="E156" s="211">
        <v>1</v>
      </c>
      <c r="F156" s="197"/>
      <c r="G156" s="211" t="s">
        <v>598</v>
      </c>
      <c r="H156" s="211">
        <v>12484.13</v>
      </c>
      <c r="I156" s="158"/>
      <c r="K156" s="216"/>
      <c r="L156" s="216"/>
      <c r="M156" s="216"/>
      <c r="O156" s="229" t="s">
        <v>598</v>
      </c>
      <c r="P156" s="229">
        <v>13731.25</v>
      </c>
    </row>
    <row r="157" spans="2:16" x14ac:dyDescent="0.25">
      <c r="B157" s="181" t="s">
        <v>308</v>
      </c>
      <c r="C157" s="184">
        <v>43220</v>
      </c>
      <c r="D157" s="181">
        <v>60.391819920000003</v>
      </c>
      <c r="E157" s="211">
        <v>1</v>
      </c>
      <c r="F157" s="197"/>
      <c r="G157" s="211" t="s">
        <v>599</v>
      </c>
      <c r="H157" s="211">
        <v>2304.35</v>
      </c>
      <c r="I157" s="158"/>
      <c r="K157" s="216"/>
      <c r="L157" s="216"/>
      <c r="M157" s="216"/>
      <c r="O157" s="229" t="s">
        <v>599</v>
      </c>
      <c r="P157" s="229">
        <v>2600</v>
      </c>
    </row>
    <row r="158" spans="2:16" x14ac:dyDescent="0.25">
      <c r="B158" s="181" t="s">
        <v>512</v>
      </c>
      <c r="C158" s="184">
        <v>44326</v>
      </c>
      <c r="D158" s="181">
        <v>51940.636278600003</v>
      </c>
      <c r="E158" s="211">
        <v>1</v>
      </c>
      <c r="F158" s="197"/>
      <c r="G158" s="211" t="s">
        <v>600</v>
      </c>
      <c r="H158" s="211">
        <v>92115.16</v>
      </c>
      <c r="I158" s="158"/>
      <c r="K158" s="216"/>
      <c r="L158" s="216"/>
      <c r="M158" s="216"/>
      <c r="O158" s="229" t="s">
        <v>600</v>
      </c>
      <c r="P158" s="229">
        <v>72902.52</v>
      </c>
    </row>
    <row r="159" spans="2:16" x14ac:dyDescent="0.25">
      <c r="B159" s="181" t="s">
        <v>313</v>
      </c>
      <c r="C159" s="184">
        <v>44266</v>
      </c>
      <c r="D159" s="181">
        <v>13928.64894397</v>
      </c>
      <c r="E159" s="211">
        <v>1</v>
      </c>
      <c r="F159" s="197"/>
      <c r="G159" s="211" t="s">
        <v>601</v>
      </c>
      <c r="H159" s="211">
        <v>10454.959999999999</v>
      </c>
      <c r="I159" s="158"/>
      <c r="K159" s="216"/>
      <c r="L159" s="216"/>
      <c r="M159" s="216"/>
      <c r="O159" s="229" t="s">
        <v>601</v>
      </c>
      <c r="P159" s="229">
        <v>10955.94</v>
      </c>
    </row>
    <row r="160" spans="2:16" x14ac:dyDescent="0.25">
      <c r="B160" s="181" t="s">
        <v>543</v>
      </c>
      <c r="C160" s="184">
        <v>44287</v>
      </c>
      <c r="D160" s="181">
        <v>1055.7125234600001</v>
      </c>
      <c r="E160" s="211">
        <v>1</v>
      </c>
      <c r="F160" s="197"/>
      <c r="G160" s="211" t="s">
        <v>602</v>
      </c>
      <c r="H160" s="211">
        <v>3408.63</v>
      </c>
      <c r="I160" s="158"/>
      <c r="K160" s="216"/>
      <c r="L160" s="216"/>
      <c r="M160" s="216"/>
      <c r="O160" s="229" t="s">
        <v>602</v>
      </c>
      <c r="P160" s="229">
        <v>4093.71</v>
      </c>
    </row>
    <row r="161" spans="2:16" x14ac:dyDescent="0.25">
      <c r="B161" s="181" t="s">
        <v>328</v>
      </c>
      <c r="C161" s="184">
        <v>42193</v>
      </c>
      <c r="D161" s="181">
        <v>9363.98</v>
      </c>
      <c r="E161" s="211">
        <v>1</v>
      </c>
      <c r="F161" s="197"/>
      <c r="G161" s="211" t="s">
        <v>603</v>
      </c>
      <c r="H161" s="211">
        <v>17006.080000000002</v>
      </c>
      <c r="I161" s="158"/>
      <c r="K161" s="216"/>
      <c r="L161" s="216"/>
      <c r="M161" s="216"/>
      <c r="O161" s="229" t="s">
        <v>603</v>
      </c>
      <c r="P161" s="229">
        <v>18062.240000000002</v>
      </c>
    </row>
    <row r="162" spans="2:16" x14ac:dyDescent="0.25">
      <c r="B162" s="181" t="s">
        <v>560</v>
      </c>
      <c r="C162" s="184">
        <v>44362</v>
      </c>
      <c r="D162" s="181">
        <v>207.20655972</v>
      </c>
      <c r="E162" s="211">
        <v>1</v>
      </c>
      <c r="F162" s="197"/>
      <c r="G162" s="211" t="s">
        <v>604</v>
      </c>
      <c r="H162" s="211">
        <v>9272.59</v>
      </c>
      <c r="I162" s="158"/>
      <c r="K162" s="216"/>
      <c r="L162" s="216"/>
      <c r="M162" s="216"/>
      <c r="O162" s="229" t="s">
        <v>604</v>
      </c>
      <c r="P162" s="229">
        <v>9560.24</v>
      </c>
    </row>
    <row r="163" spans="2:16" x14ac:dyDescent="0.25">
      <c r="B163" s="181" t="s">
        <v>563</v>
      </c>
      <c r="C163" s="184">
        <v>44503</v>
      </c>
      <c r="D163" s="181">
        <v>13017.98337054</v>
      </c>
      <c r="E163" s="211">
        <v>1</v>
      </c>
      <c r="F163" s="197"/>
      <c r="G163" s="211" t="s">
        <v>605</v>
      </c>
      <c r="H163" s="211">
        <v>6793.72</v>
      </c>
      <c r="I163" s="158"/>
      <c r="K163" s="216"/>
      <c r="L163" s="216"/>
      <c r="M163" s="216"/>
      <c r="O163" s="229" t="s">
        <v>605</v>
      </c>
      <c r="P163" s="229">
        <v>6698.62</v>
      </c>
    </row>
    <row r="164" spans="2:16" x14ac:dyDescent="0.25">
      <c r="B164" s="181" t="s">
        <v>339</v>
      </c>
      <c r="C164" s="184">
        <v>44204</v>
      </c>
      <c r="D164" s="181">
        <v>125491.21</v>
      </c>
      <c r="E164" s="211">
        <v>1</v>
      </c>
      <c r="F164" s="197"/>
      <c r="G164" s="211" t="s">
        <v>606</v>
      </c>
      <c r="H164" s="211">
        <v>32397.759999999998</v>
      </c>
      <c r="I164" s="158"/>
      <c r="K164" s="216"/>
      <c r="L164" s="216"/>
      <c r="M164" s="216"/>
      <c r="O164" s="229" t="s">
        <v>606</v>
      </c>
      <c r="P164" s="229">
        <v>33034.92</v>
      </c>
    </row>
    <row r="165" spans="2:16" x14ac:dyDescent="0.25">
      <c r="B165" s="181" t="s">
        <v>572</v>
      </c>
      <c r="C165" s="184">
        <v>44474</v>
      </c>
      <c r="D165" s="181">
        <v>16056.509786430001</v>
      </c>
      <c r="E165" s="211">
        <v>1</v>
      </c>
      <c r="F165" s="197"/>
      <c r="G165" s="211" t="s">
        <v>607</v>
      </c>
      <c r="H165" s="211">
        <v>2335.62</v>
      </c>
      <c r="I165" s="158"/>
      <c r="K165" s="216"/>
      <c r="L165" s="216"/>
      <c r="M165" s="216"/>
      <c r="O165" s="229" t="s">
        <v>607</v>
      </c>
      <c r="P165" s="229">
        <v>2326.88</v>
      </c>
    </row>
    <row r="166" spans="2:16" x14ac:dyDescent="0.25">
      <c r="B166" s="181" t="s">
        <v>349</v>
      </c>
      <c r="C166" s="184">
        <v>43875</v>
      </c>
      <c r="D166" s="181">
        <v>13392.1</v>
      </c>
      <c r="E166" s="211">
        <v>1</v>
      </c>
      <c r="F166" s="197"/>
      <c r="G166" s="211" t="s">
        <v>608</v>
      </c>
      <c r="H166" s="211">
        <v>1770.2</v>
      </c>
      <c r="I166" s="158"/>
      <c r="K166" s="216"/>
      <c r="L166" s="216"/>
      <c r="M166" s="216"/>
      <c r="O166" s="229" t="s">
        <v>608</v>
      </c>
      <c r="P166" s="229">
        <v>1850.86</v>
      </c>
    </row>
    <row r="167" spans="2:16" x14ac:dyDescent="0.25">
      <c r="B167" s="181" t="s">
        <v>356</v>
      </c>
      <c r="C167" s="184">
        <v>42069</v>
      </c>
      <c r="D167" s="181">
        <v>31823.85</v>
      </c>
      <c r="E167" s="211">
        <v>1</v>
      </c>
      <c r="F167" s="197"/>
      <c r="G167" s="211" t="s">
        <v>609</v>
      </c>
      <c r="H167" s="211">
        <v>16512.89</v>
      </c>
      <c r="I167" s="158"/>
      <c r="K167" s="216"/>
      <c r="L167" s="216"/>
      <c r="M167" s="216"/>
      <c r="O167" s="229" t="s">
        <v>609</v>
      </c>
      <c r="P167" s="229">
        <v>16714.37</v>
      </c>
    </row>
    <row r="168" spans="2:16" x14ac:dyDescent="0.25">
      <c r="B168" s="181" t="s">
        <v>361</v>
      </c>
      <c r="C168" s="184">
        <v>44302</v>
      </c>
      <c r="D168" s="181">
        <v>7070.09</v>
      </c>
      <c r="E168" s="211">
        <v>1</v>
      </c>
      <c r="F168" s="197"/>
      <c r="G168" s="211" t="s">
        <v>610</v>
      </c>
      <c r="H168" s="211">
        <v>9234.82</v>
      </c>
      <c r="I168" s="158"/>
      <c r="K168" s="216"/>
      <c r="L168" s="216"/>
      <c r="M168" s="216"/>
      <c r="O168" s="229" t="s">
        <v>610</v>
      </c>
      <c r="P168" s="229">
        <v>9064.68</v>
      </c>
    </row>
    <row r="169" spans="2:16" x14ac:dyDescent="0.25">
      <c r="B169" s="181" t="s">
        <v>364</v>
      </c>
      <c r="C169" s="184">
        <v>43060</v>
      </c>
      <c r="D169" s="181">
        <v>20575.990000000002</v>
      </c>
      <c r="E169" s="211">
        <v>1</v>
      </c>
      <c r="F169" s="197"/>
      <c r="G169" s="211" t="s">
        <v>611</v>
      </c>
      <c r="H169" s="211">
        <v>6462.13</v>
      </c>
      <c r="I169" s="158"/>
      <c r="K169" s="216"/>
      <c r="L169" s="216"/>
      <c r="M169" s="216"/>
      <c r="O169" s="229" t="s">
        <v>611</v>
      </c>
      <c r="P169" s="229">
        <v>6604.83</v>
      </c>
    </row>
    <row r="170" spans="2:16" x14ac:dyDescent="0.25">
      <c r="B170" s="181" t="s">
        <v>577</v>
      </c>
      <c r="C170" s="184">
        <v>44467</v>
      </c>
      <c r="D170" s="181">
        <v>16339.24</v>
      </c>
      <c r="E170" s="211">
        <v>1</v>
      </c>
      <c r="F170" s="197"/>
      <c r="G170" s="211" t="s">
        <v>612</v>
      </c>
      <c r="H170" s="211">
        <v>16389.240000000002</v>
      </c>
      <c r="I170" s="158"/>
      <c r="K170" s="216"/>
      <c r="L170" s="216"/>
      <c r="M170" s="216"/>
      <c r="O170" s="229" t="s">
        <v>612</v>
      </c>
      <c r="P170" s="229">
        <v>17085.41</v>
      </c>
    </row>
    <row r="171" spans="2:16" x14ac:dyDescent="0.25">
      <c r="B171" s="181" t="s">
        <v>578</v>
      </c>
      <c r="C171" s="184">
        <v>44468</v>
      </c>
      <c r="D171" s="181">
        <v>9025.74</v>
      </c>
      <c r="E171" s="211">
        <v>1</v>
      </c>
      <c r="F171" s="197"/>
      <c r="G171" s="211" t="s">
        <v>613</v>
      </c>
      <c r="H171" s="211">
        <v>8155.72</v>
      </c>
      <c r="I171" s="158"/>
      <c r="K171" s="216"/>
      <c r="L171" s="216"/>
      <c r="M171" s="216"/>
      <c r="O171" s="229" t="s">
        <v>613</v>
      </c>
      <c r="P171" s="229">
        <v>7851.59</v>
      </c>
    </row>
    <row r="172" spans="2:16" x14ac:dyDescent="0.25">
      <c r="B172" s="181" t="s">
        <v>582</v>
      </c>
      <c r="C172" s="184">
        <v>44504</v>
      </c>
      <c r="D172" s="181">
        <v>9121.6200000000008</v>
      </c>
      <c r="E172" s="211">
        <v>1</v>
      </c>
      <c r="F172" s="197"/>
      <c r="G172" s="211" t="s">
        <v>614</v>
      </c>
      <c r="H172" s="211">
        <v>10875.55</v>
      </c>
      <c r="I172" s="158"/>
      <c r="K172" s="216"/>
      <c r="L172" s="216"/>
      <c r="M172" s="216"/>
      <c r="O172" s="229" t="s">
        <v>614</v>
      </c>
      <c r="P172" s="229">
        <v>10033.469999999999</v>
      </c>
    </row>
    <row r="173" spans="2:16" x14ac:dyDescent="0.25">
      <c r="B173" s="181" t="s">
        <v>584</v>
      </c>
      <c r="C173" s="184">
        <v>44475</v>
      </c>
      <c r="D173" s="181">
        <v>56627.99</v>
      </c>
      <c r="E173" s="211">
        <v>1</v>
      </c>
      <c r="F173" s="197"/>
      <c r="G173" s="211" t="s">
        <v>615</v>
      </c>
      <c r="H173" s="211">
        <v>5591.1</v>
      </c>
      <c r="I173" s="158"/>
      <c r="K173" s="216"/>
      <c r="L173" s="216"/>
      <c r="M173" s="216"/>
      <c r="O173" s="229" t="s">
        <v>615</v>
      </c>
      <c r="P173" s="229">
        <v>5422.46</v>
      </c>
    </row>
    <row r="174" spans="2:16" x14ac:dyDescent="0.25">
      <c r="B174" s="181" t="s">
        <v>608</v>
      </c>
      <c r="C174" s="184">
        <v>44364</v>
      </c>
      <c r="D174" s="181">
        <v>2091.39</v>
      </c>
      <c r="E174" s="211">
        <v>1</v>
      </c>
      <c r="F174" s="197"/>
      <c r="G174" s="211" t="s">
        <v>616</v>
      </c>
      <c r="H174" s="211">
        <v>42027.58</v>
      </c>
      <c r="I174" s="158"/>
      <c r="K174" s="216"/>
      <c r="L174" s="216"/>
      <c r="M174" s="216"/>
      <c r="O174" s="229" t="s">
        <v>616</v>
      </c>
      <c r="P174" s="229">
        <v>45653.56</v>
      </c>
    </row>
    <row r="175" spans="2:16" x14ac:dyDescent="0.25">
      <c r="B175" s="181" t="s">
        <v>615</v>
      </c>
      <c r="C175" s="184">
        <v>44474</v>
      </c>
      <c r="D175" s="181">
        <v>6163.76</v>
      </c>
      <c r="E175" s="211">
        <v>1</v>
      </c>
      <c r="F175" s="197"/>
      <c r="G175" s="211" t="s">
        <v>617</v>
      </c>
      <c r="H175" s="211">
        <v>876.56</v>
      </c>
      <c r="I175" s="158"/>
      <c r="K175" s="216"/>
      <c r="L175" s="216"/>
      <c r="M175" s="216"/>
      <c r="O175" s="229" t="s">
        <v>617</v>
      </c>
      <c r="P175" s="229">
        <v>934.33</v>
      </c>
    </row>
    <row r="176" spans="2:16" x14ac:dyDescent="0.25">
      <c r="B176" s="181" t="s">
        <v>373</v>
      </c>
      <c r="C176" s="184">
        <v>38665</v>
      </c>
      <c r="D176" s="181">
        <v>225.62</v>
      </c>
      <c r="E176" s="211">
        <v>1</v>
      </c>
      <c r="F176" s="197"/>
      <c r="G176" s="211"/>
      <c r="H176" s="211"/>
      <c r="I176" s="158"/>
      <c r="K176" s="216"/>
      <c r="L176" s="216"/>
      <c r="M176" s="216"/>
      <c r="O176" s="229"/>
      <c r="P176" s="229"/>
    </row>
    <row r="177" spans="2:16" x14ac:dyDescent="0.25">
      <c r="B177" s="181" t="s">
        <v>387</v>
      </c>
      <c r="C177" s="184">
        <v>38713</v>
      </c>
      <c r="D177" s="181">
        <v>141.75</v>
      </c>
      <c r="E177" s="211">
        <v>1</v>
      </c>
      <c r="F177" s="197"/>
      <c r="G177" s="211"/>
      <c r="H177" s="211"/>
      <c r="I177" s="158"/>
      <c r="K177" s="216"/>
      <c r="L177" s="216"/>
      <c r="M177" s="216"/>
      <c r="O177" s="229"/>
      <c r="P177" s="229"/>
    </row>
    <row r="178" spans="2:16" x14ac:dyDescent="0.25">
      <c r="B178" s="181" t="s">
        <v>390</v>
      </c>
      <c r="C178" s="184">
        <v>38705</v>
      </c>
      <c r="D178" s="181">
        <v>217.85</v>
      </c>
      <c r="E178" s="211">
        <v>1</v>
      </c>
      <c r="F178" s="197"/>
      <c r="G178" s="211"/>
      <c r="H178" s="211"/>
      <c r="I178" s="158"/>
      <c r="K178" s="216"/>
      <c r="L178" s="216"/>
      <c r="M178" s="216"/>
      <c r="O178" s="229"/>
      <c r="P178" s="229"/>
    </row>
    <row r="179" spans="2:16" x14ac:dyDescent="0.25">
      <c r="B179" s="181" t="s">
        <v>394</v>
      </c>
      <c r="C179" s="184">
        <v>40577</v>
      </c>
      <c r="D179" s="181">
        <v>493.46</v>
      </c>
      <c r="E179" s="211">
        <v>1</v>
      </c>
      <c r="F179" s="197"/>
      <c r="G179" s="211"/>
      <c r="H179" s="211"/>
      <c r="I179" s="158"/>
      <c r="K179" s="216"/>
      <c r="L179" s="216"/>
      <c r="M179" s="216"/>
      <c r="O179" s="229"/>
      <c r="P179" s="229"/>
    </row>
    <row r="180" spans="2:16" x14ac:dyDescent="0.25">
      <c r="B180" s="181" t="s">
        <v>395</v>
      </c>
      <c r="C180" s="184">
        <v>39618</v>
      </c>
      <c r="D180" s="181">
        <v>303</v>
      </c>
      <c r="E180" s="211">
        <v>1</v>
      </c>
      <c r="F180" s="197"/>
      <c r="G180" s="211"/>
      <c r="H180" s="211"/>
      <c r="I180" s="158"/>
      <c r="K180" s="216"/>
      <c r="L180" s="216"/>
      <c r="M180" s="216"/>
      <c r="O180" s="229"/>
      <c r="P180" s="229"/>
    </row>
    <row r="181" spans="2:16" x14ac:dyDescent="0.25">
      <c r="B181" s="181" t="s">
        <v>402</v>
      </c>
      <c r="C181" s="184">
        <v>39394</v>
      </c>
      <c r="D181" s="181">
        <v>363.69</v>
      </c>
      <c r="E181" s="211">
        <v>1</v>
      </c>
      <c r="F181" s="197"/>
      <c r="G181" s="211"/>
      <c r="H181" s="211"/>
      <c r="I181" s="158"/>
      <c r="K181" s="216"/>
      <c r="L181" s="216"/>
      <c r="M181" s="216"/>
      <c r="O181" s="229"/>
      <c r="P181" s="229"/>
    </row>
    <row r="182" spans="2:16" x14ac:dyDescent="0.25">
      <c r="B182" s="181" t="s">
        <v>403</v>
      </c>
      <c r="C182" s="184">
        <v>42227</v>
      </c>
      <c r="D182" s="181">
        <v>4215.8333879900001</v>
      </c>
      <c r="E182" s="211">
        <v>1</v>
      </c>
      <c r="F182" s="197"/>
      <c r="G182" s="211"/>
      <c r="H182" s="211"/>
      <c r="I182" s="158"/>
      <c r="K182" s="216"/>
      <c r="L182" s="216"/>
      <c r="M182" s="216"/>
      <c r="O182" s="229"/>
      <c r="P182" s="229"/>
    </row>
    <row r="183" spans="2:16" x14ac:dyDescent="0.25">
      <c r="B183" s="181" t="s">
        <v>220</v>
      </c>
      <c r="C183" s="184">
        <v>38715</v>
      </c>
      <c r="D183" s="181">
        <v>25723.24</v>
      </c>
      <c r="E183" s="211">
        <v>1</v>
      </c>
      <c r="F183" s="197"/>
      <c r="G183" s="211"/>
      <c r="H183" s="211"/>
      <c r="I183" s="158"/>
      <c r="K183" s="216"/>
      <c r="L183" s="216"/>
      <c r="M183" s="216"/>
      <c r="O183" s="229"/>
      <c r="P183" s="229"/>
    </row>
    <row r="184" spans="2:16" x14ac:dyDescent="0.25">
      <c r="B184" s="181" t="s">
        <v>224</v>
      </c>
      <c r="C184" s="184">
        <v>38715</v>
      </c>
      <c r="D184" s="181">
        <v>24993.42</v>
      </c>
      <c r="E184" s="211">
        <v>1</v>
      </c>
      <c r="F184" s="197"/>
      <c r="G184" s="211"/>
      <c r="H184" s="211"/>
      <c r="I184" s="158"/>
      <c r="K184" s="216"/>
      <c r="L184" s="216"/>
      <c r="M184" s="216"/>
      <c r="O184" s="229"/>
      <c r="P184" s="229"/>
    </row>
    <row r="185" spans="2:16" x14ac:dyDescent="0.25">
      <c r="B185" s="181" t="s">
        <v>232</v>
      </c>
      <c r="C185" s="184">
        <v>38708</v>
      </c>
      <c r="D185" s="181">
        <v>1357.01</v>
      </c>
      <c r="E185" s="211">
        <v>1</v>
      </c>
      <c r="F185" s="197"/>
      <c r="G185" s="211"/>
      <c r="H185" s="211"/>
      <c r="I185" s="158"/>
      <c r="K185" s="216"/>
      <c r="L185" s="216"/>
      <c r="M185" s="216"/>
      <c r="O185" s="229"/>
      <c r="P185" s="229"/>
    </row>
    <row r="186" spans="2:16" x14ac:dyDescent="0.25">
      <c r="B186" s="181" t="s">
        <v>233</v>
      </c>
      <c r="C186" s="184">
        <v>38713</v>
      </c>
      <c r="D186" s="181">
        <v>17869.22</v>
      </c>
      <c r="E186" s="211">
        <v>1</v>
      </c>
      <c r="F186" s="197"/>
      <c r="G186" s="211"/>
      <c r="H186" s="211"/>
      <c r="I186" s="158"/>
      <c r="K186" s="216"/>
      <c r="L186" s="216"/>
      <c r="M186" s="216"/>
      <c r="O186" s="229"/>
      <c r="P186" s="229"/>
    </row>
    <row r="187" spans="2:16" x14ac:dyDescent="0.25">
      <c r="B187" s="181" t="s">
        <v>238</v>
      </c>
      <c r="C187" s="184">
        <v>38713</v>
      </c>
      <c r="D187" s="181">
        <v>590.19000000000005</v>
      </c>
      <c r="E187" s="211">
        <v>1</v>
      </c>
      <c r="F187" s="197"/>
      <c r="G187" s="211"/>
      <c r="H187" s="211"/>
      <c r="I187" s="158"/>
      <c r="K187" s="216"/>
      <c r="L187" s="216"/>
      <c r="M187" s="216"/>
      <c r="O187" s="229"/>
      <c r="P187" s="229"/>
    </row>
    <row r="188" spans="2:16" x14ac:dyDescent="0.25">
      <c r="B188" s="181" t="s">
        <v>242</v>
      </c>
      <c r="C188" s="184">
        <v>38709</v>
      </c>
      <c r="D188" s="181">
        <v>196.52</v>
      </c>
      <c r="E188" s="211">
        <v>1</v>
      </c>
      <c r="F188" s="197"/>
      <c r="G188" s="211"/>
      <c r="H188" s="211"/>
      <c r="I188" s="158"/>
      <c r="K188" s="216"/>
      <c r="L188" s="216"/>
      <c r="M188" s="216"/>
      <c r="O188" s="229"/>
      <c r="P188" s="229"/>
    </row>
    <row r="189" spans="2:16" x14ac:dyDescent="0.25">
      <c r="B189" s="181" t="s">
        <v>252</v>
      </c>
      <c r="C189" s="184">
        <v>44266</v>
      </c>
      <c r="D189" s="181">
        <v>87682.746332709998</v>
      </c>
      <c r="E189" s="211">
        <v>1</v>
      </c>
      <c r="F189" s="197"/>
      <c r="G189" s="211"/>
      <c r="H189" s="211"/>
      <c r="I189" s="158"/>
      <c r="K189" s="216"/>
      <c r="L189" s="216"/>
      <c r="M189" s="216"/>
      <c r="O189" s="229"/>
      <c r="P189" s="229"/>
    </row>
    <row r="190" spans="2:16" x14ac:dyDescent="0.25">
      <c r="B190" s="181" t="s">
        <v>624</v>
      </c>
      <c r="C190" s="184">
        <v>42312</v>
      </c>
      <c r="D190" s="181">
        <v>1315.4607390000001</v>
      </c>
      <c r="E190" s="211">
        <v>1</v>
      </c>
      <c r="F190" s="197"/>
      <c r="G190" s="211"/>
      <c r="H190" s="211"/>
      <c r="I190" s="158"/>
      <c r="K190" s="216"/>
      <c r="L190" s="216"/>
      <c r="M190" s="216"/>
      <c r="O190" s="229"/>
      <c r="P190" s="229"/>
    </row>
    <row r="191" spans="2:16" x14ac:dyDescent="0.25">
      <c r="B191" s="181" t="s">
        <v>255</v>
      </c>
      <c r="C191" s="184">
        <v>43125</v>
      </c>
      <c r="D191" s="181">
        <v>4957.9597465699999</v>
      </c>
      <c r="E191" s="211">
        <v>1</v>
      </c>
      <c r="F191" s="197"/>
      <c r="G191" s="211"/>
      <c r="H191" s="211"/>
      <c r="I191" s="158"/>
      <c r="K191" s="216"/>
      <c r="L191" s="216"/>
      <c r="M191" s="216"/>
      <c r="O191" s="229"/>
      <c r="P191" s="229"/>
    </row>
    <row r="192" spans="2:16" x14ac:dyDescent="0.25">
      <c r="B192" s="181" t="s">
        <v>105</v>
      </c>
      <c r="C192" s="184">
        <v>39400</v>
      </c>
      <c r="D192" s="181">
        <v>5041.9399999999996</v>
      </c>
      <c r="E192" s="211">
        <v>1</v>
      </c>
      <c r="F192" s="197"/>
      <c r="G192" s="211"/>
      <c r="H192" s="211"/>
      <c r="I192" s="158"/>
      <c r="K192" s="216"/>
      <c r="L192" s="216"/>
      <c r="M192" s="216"/>
      <c r="O192" s="229"/>
      <c r="P192" s="229"/>
    </row>
    <row r="193" spans="2:16" x14ac:dyDescent="0.25">
      <c r="B193" s="181" t="s">
        <v>256</v>
      </c>
      <c r="C193" s="184">
        <v>39400</v>
      </c>
      <c r="D193" s="181">
        <v>2186.16</v>
      </c>
      <c r="E193" s="211">
        <v>1</v>
      </c>
      <c r="F193" s="197"/>
      <c r="G193" s="211"/>
      <c r="H193" s="211"/>
      <c r="I193" s="158"/>
      <c r="K193" s="216"/>
      <c r="L193" s="216"/>
      <c r="M193" s="216"/>
      <c r="O193" s="229"/>
      <c r="P193" s="229"/>
    </row>
    <row r="194" spans="2:16" x14ac:dyDescent="0.25">
      <c r="B194" s="181" t="s">
        <v>257</v>
      </c>
      <c r="C194" s="184">
        <v>39381</v>
      </c>
      <c r="D194" s="181">
        <v>90476.79</v>
      </c>
      <c r="E194" s="211">
        <v>1</v>
      </c>
      <c r="F194" s="197"/>
      <c r="G194" s="211"/>
      <c r="H194" s="211"/>
      <c r="I194" s="158"/>
      <c r="K194" s="216"/>
      <c r="L194" s="216"/>
      <c r="M194" s="216"/>
      <c r="O194" s="229"/>
      <c r="P194" s="229"/>
    </row>
    <row r="195" spans="2:16" x14ac:dyDescent="0.25">
      <c r="B195" s="181" t="s">
        <v>260</v>
      </c>
      <c r="C195" s="184">
        <v>43348</v>
      </c>
      <c r="D195" s="181">
        <v>234.75259614999999</v>
      </c>
      <c r="E195" s="211">
        <v>1</v>
      </c>
      <c r="F195" s="197"/>
      <c r="G195" s="211"/>
      <c r="H195" s="211"/>
      <c r="I195" s="158"/>
      <c r="K195" s="216"/>
      <c r="L195" s="216"/>
      <c r="M195" s="216"/>
      <c r="O195" s="229"/>
      <c r="P195" s="229"/>
    </row>
    <row r="196" spans="2:16" x14ac:dyDescent="0.25">
      <c r="B196" s="181" t="s">
        <v>262</v>
      </c>
      <c r="C196" s="184">
        <v>39381</v>
      </c>
      <c r="D196" s="181">
        <v>31030.1</v>
      </c>
      <c r="E196" s="211">
        <v>1</v>
      </c>
      <c r="F196" s="197"/>
      <c r="G196" s="211"/>
      <c r="H196" s="211"/>
      <c r="I196" s="158"/>
      <c r="K196" s="216"/>
      <c r="L196" s="216"/>
      <c r="M196" s="216"/>
      <c r="O196" s="229"/>
      <c r="P196" s="229"/>
    </row>
    <row r="197" spans="2:16" x14ac:dyDescent="0.25">
      <c r="B197" s="181" t="s">
        <v>266</v>
      </c>
      <c r="C197" s="184">
        <v>44516</v>
      </c>
      <c r="D197" s="181">
        <v>102926.9654155</v>
      </c>
      <c r="E197" s="211">
        <v>1</v>
      </c>
      <c r="F197" s="197"/>
      <c r="G197" s="197"/>
      <c r="H197" s="197"/>
      <c r="K197" s="216"/>
      <c r="L197" s="216"/>
      <c r="M197" s="216"/>
      <c r="O197" s="227"/>
      <c r="P197" s="227"/>
    </row>
    <row r="198" spans="2:16" x14ac:dyDescent="0.25">
      <c r="B198" s="181" t="s">
        <v>271</v>
      </c>
      <c r="C198" s="184">
        <v>39226</v>
      </c>
      <c r="D198" s="181">
        <v>30904.43</v>
      </c>
      <c r="E198" s="211">
        <v>1</v>
      </c>
      <c r="F198" s="197"/>
      <c r="G198" s="197"/>
      <c r="H198" s="197"/>
      <c r="K198" s="216"/>
      <c r="L198" s="216"/>
      <c r="M198" s="216"/>
      <c r="O198" s="227"/>
      <c r="P198" s="227"/>
    </row>
    <row r="199" spans="2:16" x14ac:dyDescent="0.25">
      <c r="B199" s="181" t="s">
        <v>277</v>
      </c>
      <c r="C199" s="184">
        <v>44516</v>
      </c>
      <c r="D199" s="181">
        <v>28824.265212540002</v>
      </c>
      <c r="E199" s="211">
        <v>1</v>
      </c>
      <c r="F199" s="197"/>
      <c r="G199" s="197"/>
      <c r="H199" s="197"/>
      <c r="K199" s="216"/>
      <c r="L199" s="216"/>
      <c r="M199" s="216"/>
      <c r="O199" s="227"/>
      <c r="P199" s="227"/>
    </row>
    <row r="200" spans="2:16" x14ac:dyDescent="0.25">
      <c r="B200" s="181" t="s">
        <v>534</v>
      </c>
      <c r="C200" s="184">
        <v>44516</v>
      </c>
      <c r="D200" s="181">
        <v>92555.94667695</v>
      </c>
      <c r="E200" s="211">
        <v>1</v>
      </c>
      <c r="F200" s="197"/>
      <c r="G200" s="197"/>
      <c r="H200" s="197"/>
      <c r="K200" s="216"/>
      <c r="L200" s="216"/>
      <c r="M200" s="216"/>
      <c r="O200" s="227"/>
      <c r="P200" s="227"/>
    </row>
    <row r="201" spans="2:16" x14ac:dyDescent="0.25">
      <c r="B201" s="181" t="s">
        <v>98</v>
      </c>
      <c r="C201" s="184">
        <v>44257</v>
      </c>
      <c r="D201" s="181">
        <v>957.07193463999999</v>
      </c>
      <c r="E201" s="211">
        <v>1</v>
      </c>
      <c r="F201" s="197"/>
      <c r="G201" s="197"/>
      <c r="H201" s="197"/>
      <c r="K201" s="216"/>
      <c r="L201" s="216"/>
      <c r="M201" s="216"/>
      <c r="O201" s="227"/>
      <c r="P201" s="227"/>
    </row>
    <row r="202" spans="2:16" x14ac:dyDescent="0.25">
      <c r="B202" s="181" t="s">
        <v>281</v>
      </c>
      <c r="C202" s="184">
        <v>41893</v>
      </c>
      <c r="D202" s="181">
        <v>83071.234493240001</v>
      </c>
      <c r="E202" s="211">
        <v>1</v>
      </c>
      <c r="F202" s="197"/>
      <c r="G202" s="197"/>
      <c r="H202" s="197"/>
      <c r="K202" s="216"/>
      <c r="L202" s="216"/>
      <c r="M202" s="216"/>
      <c r="O202" s="227"/>
      <c r="P202" s="227"/>
    </row>
    <row r="203" spans="2:16" x14ac:dyDescent="0.25">
      <c r="B203" s="181" t="s">
        <v>284</v>
      </c>
      <c r="C203" s="184">
        <v>44267</v>
      </c>
      <c r="D203" s="181">
        <v>1480.57668984</v>
      </c>
      <c r="E203" s="211">
        <v>1</v>
      </c>
      <c r="F203" s="197"/>
      <c r="G203" s="197"/>
      <c r="H203" s="197"/>
      <c r="K203" s="216"/>
      <c r="L203" s="216"/>
      <c r="M203" s="216"/>
      <c r="O203" s="227"/>
      <c r="P203" s="227"/>
    </row>
    <row r="204" spans="2:16" x14ac:dyDescent="0.25">
      <c r="B204" s="181" t="s">
        <v>286</v>
      </c>
      <c r="C204" s="184">
        <v>44264</v>
      </c>
      <c r="D204" s="181">
        <v>3154.1927792800002</v>
      </c>
      <c r="E204" s="211">
        <v>1</v>
      </c>
      <c r="F204" s="197"/>
      <c r="G204" s="197"/>
      <c r="H204" s="197"/>
      <c r="K204" s="216"/>
      <c r="L204" s="216"/>
      <c r="M204" s="216"/>
      <c r="O204" s="227"/>
      <c r="P204" s="227"/>
    </row>
    <row r="205" spans="2:16" x14ac:dyDescent="0.25">
      <c r="B205" s="181" t="s">
        <v>536</v>
      </c>
      <c r="C205" s="184">
        <v>43125</v>
      </c>
      <c r="D205" s="181">
        <v>20280.098055819999</v>
      </c>
      <c r="E205" s="211">
        <v>1</v>
      </c>
      <c r="F205" s="197"/>
      <c r="G205" s="197"/>
      <c r="H205" s="197"/>
      <c r="K205" s="216"/>
      <c r="L205" s="216"/>
      <c r="M205" s="216"/>
      <c r="O205" s="227"/>
      <c r="P205" s="227"/>
    </row>
    <row r="206" spans="2:16" x14ac:dyDescent="0.25">
      <c r="B206" s="181" t="s">
        <v>74</v>
      </c>
      <c r="C206" s="184">
        <v>43126</v>
      </c>
      <c r="D206" s="181">
        <v>57747.257279739999</v>
      </c>
      <c r="E206" s="211">
        <v>1</v>
      </c>
      <c r="F206" s="197"/>
      <c r="G206" s="197"/>
      <c r="H206" s="197"/>
      <c r="K206" s="216"/>
      <c r="L206" s="216"/>
      <c r="M206" s="216"/>
      <c r="O206" s="227"/>
      <c r="P206" s="227"/>
    </row>
    <row r="207" spans="2:16" x14ac:dyDescent="0.25">
      <c r="B207" s="181" t="s">
        <v>75</v>
      </c>
      <c r="C207" s="184">
        <v>43042</v>
      </c>
      <c r="D207" s="181">
        <v>84330.008150740003</v>
      </c>
      <c r="E207" s="211">
        <v>1</v>
      </c>
      <c r="F207" s="197"/>
      <c r="G207" s="197"/>
      <c r="H207" s="197"/>
      <c r="K207" s="216"/>
      <c r="L207" s="216"/>
      <c r="M207" s="216"/>
      <c r="O207" s="227"/>
      <c r="P207" s="227"/>
    </row>
    <row r="208" spans="2:16" x14ac:dyDescent="0.25">
      <c r="B208" s="181" t="s">
        <v>290</v>
      </c>
      <c r="C208" s="184">
        <v>41250</v>
      </c>
      <c r="D208" s="181">
        <v>94719.679999999993</v>
      </c>
      <c r="E208" s="211">
        <v>1</v>
      </c>
      <c r="F208" s="197"/>
      <c r="G208" s="197"/>
      <c r="H208" s="197"/>
      <c r="K208" s="216"/>
      <c r="L208" s="216"/>
      <c r="M208" s="216"/>
      <c r="O208" s="227"/>
      <c r="P208" s="227"/>
    </row>
    <row r="209" spans="2:5" x14ac:dyDescent="0.25">
      <c r="B209" s="181" t="s">
        <v>539</v>
      </c>
      <c r="C209" s="184">
        <v>42578</v>
      </c>
      <c r="D209" s="181">
        <v>13742.29947</v>
      </c>
      <c r="E209" s="211">
        <v>1</v>
      </c>
    </row>
    <row r="210" spans="2:5" x14ac:dyDescent="0.25">
      <c r="B210" s="181" t="s">
        <v>303</v>
      </c>
      <c r="C210" s="184">
        <v>43875</v>
      </c>
      <c r="D210" s="181">
        <v>5900.4787694500001</v>
      </c>
      <c r="E210" s="211">
        <v>1</v>
      </c>
    </row>
    <row r="211" spans="2:5" x14ac:dyDescent="0.25">
      <c r="B211" s="181" t="s">
        <v>519</v>
      </c>
      <c r="C211" s="184">
        <v>44287</v>
      </c>
      <c r="D211" s="181">
        <v>49244.486816149998</v>
      </c>
      <c r="E211" s="211">
        <v>1</v>
      </c>
    </row>
    <row r="212" spans="2:5" x14ac:dyDescent="0.25">
      <c r="B212" s="181" t="s">
        <v>518</v>
      </c>
      <c r="C212" s="184">
        <v>44468</v>
      </c>
      <c r="D212" s="181">
        <v>37315.4579275</v>
      </c>
      <c r="E212" s="211">
        <v>1</v>
      </c>
    </row>
    <row r="213" spans="2:5" x14ac:dyDescent="0.25">
      <c r="B213" s="181" t="s">
        <v>511</v>
      </c>
      <c r="C213" s="184">
        <v>44475</v>
      </c>
      <c r="D213" s="181">
        <v>26905.444889729999</v>
      </c>
      <c r="E213" s="211">
        <v>1</v>
      </c>
    </row>
    <row r="214" spans="2:5" x14ac:dyDescent="0.25">
      <c r="B214" s="181" t="s">
        <v>311</v>
      </c>
      <c r="C214" s="184">
        <v>43125</v>
      </c>
      <c r="D214" s="181">
        <v>4957.9597465699999</v>
      </c>
      <c r="E214" s="211">
        <v>1</v>
      </c>
    </row>
    <row r="215" spans="2:5" x14ac:dyDescent="0.25">
      <c r="B215" s="181" t="s">
        <v>315</v>
      </c>
      <c r="C215" s="184">
        <v>43125</v>
      </c>
      <c r="D215" s="181">
        <v>11610.59631465</v>
      </c>
      <c r="E215" s="211">
        <v>1</v>
      </c>
    </row>
    <row r="216" spans="2:5" x14ac:dyDescent="0.25">
      <c r="B216" s="181" t="s">
        <v>317</v>
      </c>
      <c r="C216" s="184">
        <v>44266</v>
      </c>
      <c r="D216" s="181">
        <v>12908.477512449999</v>
      </c>
      <c r="E216" s="211">
        <v>1</v>
      </c>
    </row>
    <row r="217" spans="2:5" x14ac:dyDescent="0.25">
      <c r="B217" s="181" t="s">
        <v>318</v>
      </c>
      <c r="C217" s="184">
        <v>44221</v>
      </c>
      <c r="D217" s="181">
        <v>59872.37</v>
      </c>
      <c r="E217" s="211">
        <v>1</v>
      </c>
    </row>
    <row r="218" spans="2:5" x14ac:dyDescent="0.25">
      <c r="B218" s="181" t="s">
        <v>322</v>
      </c>
      <c r="C218" s="184">
        <v>44264</v>
      </c>
      <c r="D218" s="181">
        <v>12719.63</v>
      </c>
      <c r="E218" s="211">
        <v>1</v>
      </c>
    </row>
    <row r="219" spans="2:5" x14ac:dyDescent="0.25">
      <c r="B219" s="181" t="s">
        <v>323</v>
      </c>
      <c r="C219" s="184">
        <v>41904</v>
      </c>
      <c r="D219" s="181">
        <v>5684.71</v>
      </c>
      <c r="E219" s="211">
        <v>1</v>
      </c>
    </row>
    <row r="220" spans="2:5" x14ac:dyDescent="0.25">
      <c r="B220" s="181" t="s">
        <v>550</v>
      </c>
      <c r="C220" s="184">
        <v>44487</v>
      </c>
      <c r="D220" s="181">
        <v>6979.2167159700002</v>
      </c>
      <c r="E220" s="211">
        <v>1</v>
      </c>
    </row>
    <row r="221" spans="2:5" x14ac:dyDescent="0.25">
      <c r="B221" s="181" t="s">
        <v>330</v>
      </c>
      <c r="C221" s="184">
        <v>42520</v>
      </c>
      <c r="D221" s="181">
        <v>31469.57</v>
      </c>
      <c r="E221" s="211">
        <v>1</v>
      </c>
    </row>
    <row r="222" spans="2:5" x14ac:dyDescent="0.25">
      <c r="B222" s="181" t="s">
        <v>553</v>
      </c>
      <c r="C222" s="184">
        <v>44518</v>
      </c>
      <c r="D222" s="181">
        <v>1101.8063909699999</v>
      </c>
      <c r="E222" s="211">
        <v>1</v>
      </c>
    </row>
    <row r="223" spans="2:5" x14ac:dyDescent="0.25">
      <c r="B223" s="181" t="s">
        <v>334</v>
      </c>
      <c r="C223" s="184">
        <v>42521</v>
      </c>
      <c r="D223" s="181">
        <v>12168.93</v>
      </c>
      <c r="E223" s="211">
        <v>1</v>
      </c>
    </row>
    <row r="224" spans="2:5" x14ac:dyDescent="0.25">
      <c r="B224" s="181" t="s">
        <v>559</v>
      </c>
      <c r="C224" s="184">
        <v>44509</v>
      </c>
      <c r="D224" s="181">
        <v>3120.0225195799999</v>
      </c>
      <c r="E224" s="211">
        <v>1</v>
      </c>
    </row>
    <row r="225" spans="2:5" x14ac:dyDescent="0.25">
      <c r="B225" s="181" t="s">
        <v>567</v>
      </c>
      <c r="C225" s="184">
        <v>44510</v>
      </c>
      <c r="D225" s="181">
        <v>3468.1209932000002</v>
      </c>
      <c r="E225" s="211">
        <v>1</v>
      </c>
    </row>
    <row r="226" spans="2:5" x14ac:dyDescent="0.25">
      <c r="B226" s="181" t="s">
        <v>573</v>
      </c>
      <c r="C226" s="184">
        <v>44475</v>
      </c>
      <c r="D226" s="181">
        <v>134660.72289922999</v>
      </c>
      <c r="E226" s="211">
        <v>1</v>
      </c>
    </row>
    <row r="227" spans="2:5" x14ac:dyDescent="0.25">
      <c r="B227" s="181" t="s">
        <v>574</v>
      </c>
      <c r="C227" s="184">
        <v>44278</v>
      </c>
      <c r="D227" s="181">
        <v>27472.9976928</v>
      </c>
      <c r="E227" s="211">
        <v>1</v>
      </c>
    </row>
    <row r="228" spans="2:5" x14ac:dyDescent="0.25">
      <c r="B228" s="181" t="s">
        <v>344</v>
      </c>
      <c r="C228" s="184">
        <v>43587</v>
      </c>
      <c r="D228" s="181">
        <v>21217.81</v>
      </c>
      <c r="E228" s="211">
        <v>1</v>
      </c>
    </row>
    <row r="229" spans="2:5" x14ac:dyDescent="0.25">
      <c r="B229" s="181" t="s">
        <v>358</v>
      </c>
      <c r="C229" s="184">
        <v>42122</v>
      </c>
      <c r="D229" s="181">
        <v>13908.83</v>
      </c>
      <c r="E229" s="211">
        <v>1</v>
      </c>
    </row>
    <row r="230" spans="2:5" x14ac:dyDescent="0.25">
      <c r="B230" s="181" t="s">
        <v>603</v>
      </c>
      <c r="C230" s="184">
        <v>44362</v>
      </c>
      <c r="D230" s="181">
        <v>19810.88</v>
      </c>
      <c r="E230" s="211">
        <v>1</v>
      </c>
    </row>
    <row r="231" spans="2:5" x14ac:dyDescent="0.25">
      <c r="B231" s="181" t="s">
        <v>604</v>
      </c>
      <c r="C231" s="184">
        <v>44350</v>
      </c>
      <c r="D231" s="181">
        <v>10110.48</v>
      </c>
      <c r="E231" s="211">
        <v>1</v>
      </c>
    </row>
    <row r="232" spans="2:5" x14ac:dyDescent="0.25">
      <c r="B232" s="181" t="s">
        <v>605</v>
      </c>
      <c r="C232" s="184">
        <v>44278</v>
      </c>
      <c r="D232" s="181">
        <v>7363.21</v>
      </c>
      <c r="E232" s="211">
        <v>1</v>
      </c>
    </row>
    <row r="233" spans="2:5" x14ac:dyDescent="0.25">
      <c r="B233" s="181" t="s">
        <v>609</v>
      </c>
      <c r="C233" s="184">
        <v>44426</v>
      </c>
      <c r="D233" s="181">
        <v>17480.23</v>
      </c>
      <c r="E233" s="211">
        <v>1</v>
      </c>
    </row>
    <row r="234" spans="2:5" x14ac:dyDescent="0.25">
      <c r="B234" s="181" t="s">
        <v>376</v>
      </c>
      <c r="C234" s="184">
        <v>38027</v>
      </c>
      <c r="D234" s="181">
        <v>108.65</v>
      </c>
      <c r="E234" s="211">
        <v>1</v>
      </c>
    </row>
    <row r="235" spans="2:5" x14ac:dyDescent="0.25">
      <c r="B235" s="181" t="s">
        <v>377</v>
      </c>
      <c r="C235" s="184">
        <v>37757</v>
      </c>
      <c r="D235" s="181">
        <v>125</v>
      </c>
      <c r="E235" s="211">
        <v>1</v>
      </c>
    </row>
    <row r="236" spans="2:5" x14ac:dyDescent="0.25">
      <c r="B236" s="181" t="s">
        <v>388</v>
      </c>
      <c r="C236" s="184">
        <v>38370</v>
      </c>
      <c r="D236" s="181">
        <v>242.71</v>
      </c>
      <c r="E236" s="211">
        <v>1</v>
      </c>
    </row>
    <row r="237" spans="2:5" x14ac:dyDescent="0.25">
      <c r="B237" s="181" t="s">
        <v>389</v>
      </c>
      <c r="C237" s="184">
        <v>38706</v>
      </c>
      <c r="D237" s="181">
        <v>128.63</v>
      </c>
      <c r="E237" s="211">
        <v>1</v>
      </c>
    </row>
    <row r="238" spans="2:5" x14ac:dyDescent="0.25">
      <c r="B238" s="181" t="s">
        <v>398</v>
      </c>
      <c r="C238" s="184">
        <v>42552</v>
      </c>
      <c r="D238" s="181">
        <v>1062.7544994699999</v>
      </c>
      <c r="E238" s="211">
        <v>1</v>
      </c>
    </row>
    <row r="239" spans="2:5" x14ac:dyDescent="0.25">
      <c r="B239" s="181" t="s">
        <v>400</v>
      </c>
      <c r="C239" s="184">
        <v>42550</v>
      </c>
      <c r="D239" s="181">
        <v>147.67885862</v>
      </c>
      <c r="E239" s="211">
        <v>1</v>
      </c>
    </row>
    <row r="240" spans="2:5" x14ac:dyDescent="0.25">
      <c r="B240" s="181" t="s">
        <v>410</v>
      </c>
      <c r="C240" s="184">
        <v>42479</v>
      </c>
      <c r="D240" s="181">
        <v>517.55154836999998</v>
      </c>
      <c r="E240" s="211">
        <v>1</v>
      </c>
    </row>
    <row r="241" spans="2:5" x14ac:dyDescent="0.25">
      <c r="B241" s="181" t="s">
        <v>413</v>
      </c>
      <c r="C241" s="184">
        <v>42030</v>
      </c>
      <c r="D241" s="181">
        <v>227.86509369000001</v>
      </c>
      <c r="E241" s="211">
        <v>1</v>
      </c>
    </row>
    <row r="242" spans="2:5" x14ac:dyDescent="0.25">
      <c r="B242" s="181" t="s">
        <v>415</v>
      </c>
      <c r="C242" s="184">
        <v>42339</v>
      </c>
      <c r="D242" s="181">
        <v>487.53221783999999</v>
      </c>
      <c r="E242" s="211">
        <v>1</v>
      </c>
    </row>
    <row r="243" spans="2:5" x14ac:dyDescent="0.25">
      <c r="B243" s="181" t="s">
        <v>203</v>
      </c>
      <c r="C243" s="184">
        <v>38713</v>
      </c>
      <c r="D243" s="181">
        <v>17296.830000000002</v>
      </c>
      <c r="E243" s="211">
        <v>1</v>
      </c>
    </row>
    <row r="244" spans="2:5" x14ac:dyDescent="0.25">
      <c r="B244" s="181" t="s">
        <v>215</v>
      </c>
      <c r="C244" s="184">
        <v>38709</v>
      </c>
      <c r="D244" s="181">
        <v>10955.45</v>
      </c>
      <c r="E244" s="211">
        <v>1</v>
      </c>
    </row>
    <row r="245" spans="2:5" x14ac:dyDescent="0.25">
      <c r="B245" s="181" t="s">
        <v>216</v>
      </c>
      <c r="C245" s="184">
        <v>38580</v>
      </c>
      <c r="D245" s="181">
        <v>2321.6</v>
      </c>
      <c r="E245" s="211">
        <v>1</v>
      </c>
    </row>
    <row r="246" spans="2:5" x14ac:dyDescent="0.25">
      <c r="B246" s="181" t="s">
        <v>219</v>
      </c>
      <c r="C246" s="184">
        <v>38663</v>
      </c>
      <c r="D246" s="181">
        <v>43569.17</v>
      </c>
      <c r="E246" s="211">
        <v>1</v>
      </c>
    </row>
    <row r="247" spans="2:5" x14ac:dyDescent="0.25">
      <c r="B247" s="181" t="s">
        <v>223</v>
      </c>
      <c r="C247" s="184">
        <v>38716</v>
      </c>
      <c r="D247" s="181">
        <v>23744.76</v>
      </c>
      <c r="E247" s="211">
        <v>1</v>
      </c>
    </row>
    <row r="248" spans="2:5" x14ac:dyDescent="0.25">
      <c r="B248" s="181" t="s">
        <v>234</v>
      </c>
      <c r="C248" s="184">
        <v>38713</v>
      </c>
      <c r="D248" s="181">
        <v>30401.200000000001</v>
      </c>
      <c r="E248" s="211">
        <v>1</v>
      </c>
    </row>
    <row r="249" spans="2:5" x14ac:dyDescent="0.25">
      <c r="B249" s="181" t="s">
        <v>235</v>
      </c>
      <c r="C249" s="184">
        <v>38709</v>
      </c>
      <c r="D249" s="181">
        <v>16626.419999999998</v>
      </c>
      <c r="E249" s="211">
        <v>1</v>
      </c>
    </row>
    <row r="250" spans="2:5" x14ac:dyDescent="0.25">
      <c r="B250" s="181" t="s">
        <v>245</v>
      </c>
      <c r="C250" s="184">
        <v>44266</v>
      </c>
      <c r="D250" s="181">
        <v>13118.115906380001</v>
      </c>
      <c r="E250" s="211">
        <v>1</v>
      </c>
    </row>
    <row r="251" spans="2:5" x14ac:dyDescent="0.25">
      <c r="B251" s="181" t="s">
        <v>99</v>
      </c>
      <c r="C251" s="184">
        <v>39587</v>
      </c>
      <c r="D251" s="181">
        <v>146.47999999999999</v>
      </c>
      <c r="E251" s="211">
        <v>1</v>
      </c>
    </row>
    <row r="252" spans="2:5" x14ac:dyDescent="0.25">
      <c r="B252" s="181" t="s">
        <v>253</v>
      </c>
      <c r="C252" s="184">
        <v>39604</v>
      </c>
      <c r="D252" s="181">
        <v>61121.71</v>
      </c>
      <c r="E252" s="211">
        <v>1</v>
      </c>
    </row>
    <row r="253" spans="2:5" x14ac:dyDescent="0.25">
      <c r="B253" s="181" t="s">
        <v>46</v>
      </c>
      <c r="C253" s="184">
        <v>44509</v>
      </c>
      <c r="D253" s="181">
        <v>65591.938838820002</v>
      </c>
      <c r="E253" s="211">
        <v>1</v>
      </c>
    </row>
    <row r="254" spans="2:5" x14ac:dyDescent="0.25">
      <c r="B254" s="181" t="s">
        <v>42</v>
      </c>
      <c r="C254" s="184">
        <v>44523</v>
      </c>
      <c r="D254" s="181">
        <v>71015.396362300002</v>
      </c>
      <c r="E254" s="211">
        <v>1</v>
      </c>
    </row>
    <row r="255" spans="2:5" x14ac:dyDescent="0.25">
      <c r="B255" s="181" t="s">
        <v>48</v>
      </c>
      <c r="C255" s="184">
        <v>44515</v>
      </c>
      <c r="D255" s="181">
        <v>8506.8920910800007</v>
      </c>
      <c r="E255" s="211">
        <v>1</v>
      </c>
    </row>
    <row r="256" spans="2:5" x14ac:dyDescent="0.25">
      <c r="B256" s="181" t="s">
        <v>66</v>
      </c>
      <c r="C256" s="184">
        <v>43165</v>
      </c>
      <c r="D256" s="181">
        <v>18847.577311370002</v>
      </c>
      <c r="E256" s="211">
        <v>1</v>
      </c>
    </row>
    <row r="257" spans="2:5" x14ac:dyDescent="0.25">
      <c r="B257" s="181" t="s">
        <v>68</v>
      </c>
      <c r="C257" s="184">
        <v>44518</v>
      </c>
      <c r="D257" s="181">
        <v>91503.984750909993</v>
      </c>
      <c r="E257" s="211">
        <v>1</v>
      </c>
    </row>
    <row r="258" spans="2:5" x14ac:dyDescent="0.25">
      <c r="B258" s="181" t="s">
        <v>102</v>
      </c>
      <c r="C258" s="184">
        <v>42346</v>
      </c>
      <c r="D258" s="181">
        <v>1703.8449540300001</v>
      </c>
      <c r="E258" s="211">
        <v>1</v>
      </c>
    </row>
    <row r="259" spans="2:5" x14ac:dyDescent="0.25">
      <c r="B259" s="181" t="s">
        <v>261</v>
      </c>
      <c r="C259" s="184">
        <v>43738</v>
      </c>
      <c r="D259" s="181">
        <v>562.66120274000002</v>
      </c>
      <c r="E259" s="211">
        <v>1</v>
      </c>
    </row>
    <row r="260" spans="2:5" x14ac:dyDescent="0.25">
      <c r="B260" s="181" t="s">
        <v>92</v>
      </c>
      <c r="C260" s="184">
        <v>42305</v>
      </c>
      <c r="D260" s="181">
        <v>597.8558587</v>
      </c>
      <c r="E260" s="211">
        <v>1</v>
      </c>
    </row>
    <row r="261" spans="2:5" x14ac:dyDescent="0.25">
      <c r="B261" s="181" t="s">
        <v>275</v>
      </c>
      <c r="C261" s="184">
        <v>43125</v>
      </c>
      <c r="D261" s="181">
        <v>11425.13000949</v>
      </c>
      <c r="E261" s="211">
        <v>1</v>
      </c>
    </row>
    <row r="262" spans="2:5" x14ac:dyDescent="0.25">
      <c r="B262" s="181" t="s">
        <v>280</v>
      </c>
      <c r="C262" s="184">
        <v>40581</v>
      </c>
      <c r="D262" s="181">
        <v>82132.160000000003</v>
      </c>
      <c r="E262" s="211">
        <v>1</v>
      </c>
    </row>
    <row r="263" spans="2:5" x14ac:dyDescent="0.25">
      <c r="B263" s="181" t="s">
        <v>283</v>
      </c>
      <c r="C263" s="184">
        <v>38840</v>
      </c>
      <c r="D263" s="181">
        <v>2905.13</v>
      </c>
      <c r="E263" s="211">
        <v>1</v>
      </c>
    </row>
    <row r="264" spans="2:5" x14ac:dyDescent="0.25">
      <c r="B264" s="181" t="s">
        <v>52</v>
      </c>
      <c r="C264" s="184">
        <v>44266</v>
      </c>
      <c r="D264" s="181">
        <v>13928.648943980001</v>
      </c>
      <c r="E264" s="211">
        <v>1</v>
      </c>
    </row>
    <row r="265" spans="2:5" x14ac:dyDescent="0.25">
      <c r="B265" s="181" t="s">
        <v>72</v>
      </c>
      <c r="C265" s="184">
        <v>44263</v>
      </c>
      <c r="D265" s="181">
        <v>51535.333108639999</v>
      </c>
      <c r="E265" s="211">
        <v>1</v>
      </c>
    </row>
    <row r="266" spans="2:5" x14ac:dyDescent="0.25">
      <c r="B266" s="181" t="s">
        <v>84</v>
      </c>
      <c r="C266" s="184">
        <v>41893</v>
      </c>
      <c r="D266" s="181">
        <v>95446.135778840006</v>
      </c>
      <c r="E266" s="211">
        <v>1</v>
      </c>
    </row>
    <row r="267" spans="2:5" x14ac:dyDescent="0.25">
      <c r="B267" s="181" t="s">
        <v>292</v>
      </c>
      <c r="C267" s="184">
        <v>40581</v>
      </c>
      <c r="D267" s="181">
        <v>88089.14</v>
      </c>
      <c r="E267" s="211">
        <v>1</v>
      </c>
    </row>
    <row r="268" spans="2:5" x14ac:dyDescent="0.25">
      <c r="B268" s="181" t="s">
        <v>293</v>
      </c>
      <c r="C268" s="184">
        <v>42655</v>
      </c>
      <c r="D268" s="181">
        <v>6829.7257960500001</v>
      </c>
      <c r="E268" s="211">
        <v>1</v>
      </c>
    </row>
    <row r="269" spans="2:5" x14ac:dyDescent="0.25">
      <c r="B269" s="181" t="s">
        <v>294</v>
      </c>
      <c r="C269" s="184">
        <v>43125</v>
      </c>
      <c r="D269" s="181">
        <v>9856.3269865999991</v>
      </c>
      <c r="E269" s="211">
        <v>1</v>
      </c>
    </row>
    <row r="270" spans="2:5" x14ac:dyDescent="0.25">
      <c r="B270" s="181" t="s">
        <v>297</v>
      </c>
      <c r="C270" s="184">
        <v>39381</v>
      </c>
      <c r="D270" s="181">
        <v>42355.94</v>
      </c>
      <c r="E270" s="211">
        <v>1</v>
      </c>
    </row>
    <row r="271" spans="2:5" x14ac:dyDescent="0.25">
      <c r="B271" s="181" t="s">
        <v>301</v>
      </c>
      <c r="C271" s="184">
        <v>39209</v>
      </c>
      <c r="D271" s="181">
        <v>910.48</v>
      </c>
      <c r="E271" s="211">
        <v>1</v>
      </c>
    </row>
    <row r="272" spans="2:5" x14ac:dyDescent="0.25">
      <c r="B272" s="181" t="s">
        <v>521</v>
      </c>
      <c r="C272" s="184">
        <v>44467</v>
      </c>
      <c r="D272" s="181">
        <v>5917.4404180399997</v>
      </c>
      <c r="E272" s="211">
        <v>1</v>
      </c>
    </row>
    <row r="273" spans="2:5" x14ac:dyDescent="0.25">
      <c r="B273" s="181" t="s">
        <v>515</v>
      </c>
      <c r="C273" s="184">
        <v>44529</v>
      </c>
      <c r="D273" s="181">
        <v>33702.839527670003</v>
      </c>
      <c r="E273" s="211">
        <v>1</v>
      </c>
    </row>
    <row r="274" spans="2:5" x14ac:dyDescent="0.25">
      <c r="B274" s="10" t="s">
        <v>312</v>
      </c>
      <c r="C274" s="125">
        <v>44523</v>
      </c>
      <c r="D274" s="10">
        <v>71015.396362300002</v>
      </c>
      <c r="E274" s="10">
        <v>1</v>
      </c>
    </row>
    <row r="275" spans="2:5" x14ac:dyDescent="0.25">
      <c r="B275" s="10" t="s">
        <v>316</v>
      </c>
      <c r="C275" s="125">
        <v>41849</v>
      </c>
      <c r="D275" s="10">
        <v>4482.8823280400002</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44348</v>
      </c>
      <c r="D278" s="10">
        <v>72547.045827120004</v>
      </c>
      <c r="E278" s="10">
        <v>1</v>
      </c>
    </row>
    <row r="279" spans="2:5" x14ac:dyDescent="0.25">
      <c r="B279" s="10" t="s">
        <v>554</v>
      </c>
      <c r="C279" s="125">
        <v>44481</v>
      </c>
      <c r="D279" s="10">
        <v>6992.6479164800003</v>
      </c>
      <c r="E279" s="10">
        <v>1</v>
      </c>
    </row>
    <row r="280" spans="2:5" x14ac:dyDescent="0.25">
      <c r="B280" s="10" t="s">
        <v>557</v>
      </c>
      <c r="C280" s="125">
        <v>44529</v>
      </c>
      <c r="D280" s="10">
        <v>2442.6705177099998</v>
      </c>
      <c r="E280" s="10">
        <v>1</v>
      </c>
    </row>
    <row r="281" spans="2:5" x14ac:dyDescent="0.25">
      <c r="B281" s="10" t="s">
        <v>562</v>
      </c>
      <c r="C281" s="125">
        <v>44278</v>
      </c>
      <c r="D281" s="10">
        <v>7499.1678381299998</v>
      </c>
      <c r="E281" s="10">
        <v>1</v>
      </c>
    </row>
    <row r="282" spans="2:5" x14ac:dyDescent="0.25">
      <c r="B282" s="10" t="s">
        <v>571</v>
      </c>
      <c r="C282" s="125">
        <v>44292</v>
      </c>
      <c r="D282" s="10">
        <v>66009.315090520002</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44302</v>
      </c>
      <c r="D287" s="10">
        <v>7972.54</v>
      </c>
      <c r="E287" s="10">
        <v>1</v>
      </c>
    </row>
    <row r="288" spans="2:5" x14ac:dyDescent="0.25">
      <c r="B288" s="10" t="s">
        <v>579</v>
      </c>
      <c r="C288" s="125">
        <v>44439</v>
      </c>
      <c r="D288" s="10">
        <v>1164.3399999999999</v>
      </c>
      <c r="E288" s="10">
        <v>1</v>
      </c>
    </row>
    <row r="289" spans="2:5" x14ac:dyDescent="0.25">
      <c r="B289" s="10" t="s">
        <v>580</v>
      </c>
      <c r="C289" s="125">
        <v>44516</v>
      </c>
      <c r="D289" s="10">
        <v>48220.18</v>
      </c>
      <c r="E289" s="10">
        <v>1</v>
      </c>
    </row>
    <row r="290" spans="2:5" x14ac:dyDescent="0.25">
      <c r="B290" s="10" t="s">
        <v>581</v>
      </c>
      <c r="C290" s="125">
        <v>44503</v>
      </c>
      <c r="D290" s="10">
        <v>14598.42</v>
      </c>
      <c r="E290" s="10">
        <v>1</v>
      </c>
    </row>
    <row r="291" spans="2:5" x14ac:dyDescent="0.25">
      <c r="B291" s="10" t="s">
        <v>587</v>
      </c>
      <c r="C291" s="125">
        <v>44503</v>
      </c>
      <c r="D291" s="10">
        <v>12285.34</v>
      </c>
      <c r="E291" s="10">
        <v>1</v>
      </c>
    </row>
    <row r="292" spans="2:5" x14ac:dyDescent="0.25">
      <c r="B292" s="10" t="s">
        <v>592</v>
      </c>
      <c r="C292" s="125">
        <v>44487</v>
      </c>
      <c r="D292" s="10">
        <v>15840.47</v>
      </c>
      <c r="E292" s="10">
        <v>1</v>
      </c>
    </row>
    <row r="293" spans="2:5" x14ac:dyDescent="0.25">
      <c r="B293" s="10" t="s">
        <v>594</v>
      </c>
      <c r="C293" s="125">
        <v>44348</v>
      </c>
      <c r="D293" s="10">
        <v>17141</v>
      </c>
      <c r="E293" s="10">
        <v>1</v>
      </c>
    </row>
    <row r="294" spans="2:5" x14ac:dyDescent="0.25">
      <c r="B294" s="10" t="s">
        <v>597</v>
      </c>
      <c r="C294" s="125">
        <v>44481</v>
      </c>
      <c r="D294" s="10">
        <v>12417.31</v>
      </c>
      <c r="E294" s="10">
        <v>1</v>
      </c>
    </row>
    <row r="295" spans="2:5" x14ac:dyDescent="0.25">
      <c r="B295" s="10" t="s">
        <v>600</v>
      </c>
      <c r="C295" s="125">
        <v>44529</v>
      </c>
      <c r="D295" s="10">
        <v>94387.79</v>
      </c>
      <c r="E295" s="10">
        <v>1</v>
      </c>
    </row>
    <row r="296" spans="2:5" x14ac:dyDescent="0.25">
      <c r="B296" s="10" t="s">
        <v>612</v>
      </c>
      <c r="C296" s="125">
        <v>44302</v>
      </c>
      <c r="D296" s="10">
        <v>18624.3</v>
      </c>
      <c r="E296" s="10">
        <v>1</v>
      </c>
    </row>
    <row r="297" spans="2:5" x14ac:dyDescent="0.25">
      <c r="B297" s="10" t="s">
        <v>613</v>
      </c>
      <c r="C297" s="125">
        <v>44419</v>
      </c>
      <c r="D297" s="10">
        <v>9243.9599999999991</v>
      </c>
      <c r="E297" s="10">
        <v>1</v>
      </c>
    </row>
    <row r="298" spans="2:5" x14ac:dyDescent="0.25">
      <c r="B298" s="10" t="s">
        <v>614</v>
      </c>
      <c r="C298" s="125">
        <v>44307</v>
      </c>
      <c r="D298" s="10">
        <v>12724.48</v>
      </c>
      <c r="E298" s="10">
        <v>1</v>
      </c>
    </row>
    <row r="299" spans="2:5" x14ac:dyDescent="0.25">
      <c r="B299" s="10" t="s">
        <v>616</v>
      </c>
      <c r="C299" s="125">
        <v>44475</v>
      </c>
      <c r="D299" s="10">
        <v>52044.12</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44425</v>
      </c>
      <c r="D319" s="10">
        <v>17034.5085698</v>
      </c>
      <c r="E319" s="10">
        <v>1</v>
      </c>
    </row>
    <row r="320" spans="2:5" x14ac:dyDescent="0.25">
      <c r="B320" s="10" t="s">
        <v>88</v>
      </c>
      <c r="C320" s="125">
        <v>44406</v>
      </c>
      <c r="D320" s="10">
        <v>4835.2434641700002</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44523</v>
      </c>
      <c r="D323" s="10">
        <v>64566.393688769997</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44516</v>
      </c>
      <c r="D331" s="10">
        <v>291.79220343999998</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44517</v>
      </c>
      <c r="D335" s="10">
        <v>19111.997599999999</v>
      </c>
      <c r="E335" s="10">
        <v>1</v>
      </c>
    </row>
    <row r="336" spans="2:5" x14ac:dyDescent="0.25">
      <c r="B336" s="10" t="s">
        <v>57</v>
      </c>
      <c r="C336" s="125">
        <v>44523</v>
      </c>
      <c r="D336" s="10">
        <v>33050.260639150001</v>
      </c>
      <c r="E336" s="10">
        <v>1</v>
      </c>
    </row>
    <row r="337" spans="2:5" x14ac:dyDescent="0.25">
      <c r="B337" s="10" t="s">
        <v>282</v>
      </c>
      <c r="C337" s="125">
        <v>42460</v>
      </c>
      <c r="D337" s="10">
        <v>664.66121383999996</v>
      </c>
      <c r="E337" s="10">
        <v>1</v>
      </c>
    </row>
    <row r="338" spans="2:5" x14ac:dyDescent="0.25">
      <c r="B338" s="10" t="s">
        <v>59</v>
      </c>
      <c r="C338" s="125">
        <v>44266</v>
      </c>
      <c r="D338" s="10">
        <v>12908.477512449999</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44526</v>
      </c>
      <c r="D344" s="10">
        <v>101.04015010000001</v>
      </c>
      <c r="E344" s="10">
        <v>1</v>
      </c>
    </row>
    <row r="345" spans="2:5" x14ac:dyDescent="0.25">
      <c r="B345" s="10" t="s">
        <v>540</v>
      </c>
      <c r="C345" s="125">
        <v>44439</v>
      </c>
      <c r="D345" s="10">
        <v>1164.3937963599999</v>
      </c>
      <c r="E345" s="10">
        <v>1</v>
      </c>
    </row>
    <row r="346" spans="2:5" x14ac:dyDescent="0.25">
      <c r="B346" s="10" t="s">
        <v>513</v>
      </c>
      <c r="C346" s="125">
        <v>44426</v>
      </c>
      <c r="D346" s="10">
        <v>39509.158679679997</v>
      </c>
      <c r="E346" s="10">
        <v>1</v>
      </c>
    </row>
    <row r="347" spans="2:5" x14ac:dyDescent="0.25">
      <c r="B347" s="10" t="s">
        <v>547</v>
      </c>
      <c r="C347" s="125">
        <v>44439</v>
      </c>
      <c r="D347" s="10">
        <v>8704.7066720399998</v>
      </c>
      <c r="E347" s="10">
        <v>1</v>
      </c>
    </row>
    <row r="348" spans="2:5" x14ac:dyDescent="0.25">
      <c r="B348" s="10" t="s">
        <v>548</v>
      </c>
      <c r="C348" s="125">
        <v>44509</v>
      </c>
      <c r="D348" s="10">
        <v>4296.9340221900002</v>
      </c>
      <c r="E348" s="10">
        <v>1</v>
      </c>
    </row>
    <row r="349" spans="2:5" x14ac:dyDescent="0.25">
      <c r="B349" s="10" t="s">
        <v>551</v>
      </c>
      <c r="C349" s="125">
        <v>44470</v>
      </c>
      <c r="D349" s="10">
        <v>35358.506021089997</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44302</v>
      </c>
      <c r="D355" s="10">
        <v>85709.884540219995</v>
      </c>
      <c r="E355" s="10">
        <v>1</v>
      </c>
    </row>
    <row r="356" spans="2:5" x14ac:dyDescent="0.25">
      <c r="B356" s="10" t="s">
        <v>570</v>
      </c>
      <c r="C356" s="125">
        <v>44425</v>
      </c>
      <c r="D356" s="10">
        <v>32933.195235350002</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44508</v>
      </c>
      <c r="D365" s="10">
        <v>8674.17</v>
      </c>
      <c r="E365" s="10">
        <v>1</v>
      </c>
    </row>
    <row r="366" spans="2:5" x14ac:dyDescent="0.25">
      <c r="B366" s="10" t="s">
        <v>583</v>
      </c>
      <c r="C366" s="125">
        <v>44302</v>
      </c>
      <c r="D366" s="10">
        <v>10097.94</v>
      </c>
      <c r="E366" s="10">
        <v>1</v>
      </c>
    </row>
    <row r="367" spans="2:5" x14ac:dyDescent="0.25">
      <c r="B367" s="10" t="s">
        <v>590</v>
      </c>
      <c r="C367" s="125">
        <v>44509</v>
      </c>
      <c r="D367" s="10">
        <v>9590.07</v>
      </c>
      <c r="E367" s="10">
        <v>1</v>
      </c>
    </row>
    <row r="368" spans="2:5" x14ac:dyDescent="0.25">
      <c r="B368" s="10" t="s">
        <v>598</v>
      </c>
      <c r="C368" s="125">
        <v>44504</v>
      </c>
      <c r="D368" s="10">
        <v>13987.83</v>
      </c>
      <c r="E368" s="10">
        <v>1</v>
      </c>
    </row>
    <row r="369" spans="2:5" x14ac:dyDescent="0.25">
      <c r="B369" s="10" t="s">
        <v>601</v>
      </c>
      <c r="C369" s="125">
        <v>44426</v>
      </c>
      <c r="D369" s="10">
        <v>12097.07</v>
      </c>
      <c r="E369" s="10">
        <v>1</v>
      </c>
    </row>
    <row r="370" spans="2:5" x14ac:dyDescent="0.25">
      <c r="B370" s="10" t="s">
        <v>611</v>
      </c>
      <c r="C370" s="125">
        <v>44487</v>
      </c>
      <c r="D370" s="10">
        <v>6814.84</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8"/>
      <c r="G2" s="398"/>
      <c r="H2" s="398"/>
      <c r="I2" s="398"/>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2021-12-07T10:02:29Z</cp:lastPrinted>
  <dcterms:created xsi:type="dcterms:W3CDTF">2009-10-22T12:59:48Z</dcterms:created>
  <dcterms:modified xsi:type="dcterms:W3CDTF">2021-12-07T10:11:49Z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2021-12-01T05:30:08Z</vt:lpwstr>
  </property>
  <property fmtid="{D5CDD505-2E9C-101B-9397-08002B2CF9AE}" pid="6" name="MSIP_Label_66d8a90e-c522-4829-9625-db8c70f8b095_Method">
    <vt:lpwstr>Privileged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8aa4c903-d4e0-4bd4-b445-fdcdacf0f833</vt:lpwstr>
  </property>
  <property fmtid="{D5CDD505-2E9C-101B-9397-08002B2CF9AE}" pid="10" name="MSIP_Label_66d8a90e-c522-4829-9625-db8c70f8b095_ContentBits">
    <vt:lpwstr>0</vt:lpwstr>
  </property>
</Properties>
</file>