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5912776B-3E6B-4091-8EEE-1A98A251778C}"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2" i="1" l="1"/>
  <c r="I202" i="1"/>
  <c r="H203" i="1"/>
  <c r="I203" i="1"/>
  <c r="H204" i="1"/>
  <c r="I204" i="1"/>
  <c r="H205" i="1"/>
  <c r="I205" i="1"/>
  <c r="H206" i="1"/>
  <c r="I206" i="1"/>
  <c r="I201" i="1"/>
  <c r="H201" i="1"/>
  <c r="H210" i="1"/>
  <c r="I210" i="1"/>
  <c r="H211" i="1"/>
  <c r="I211" i="1"/>
  <c r="H212" i="1"/>
  <c r="I212" i="1"/>
  <c r="H213" i="1"/>
  <c r="I213" i="1"/>
  <c r="H214" i="1"/>
  <c r="I214" i="1"/>
  <c r="H215" i="1"/>
  <c r="I215" i="1"/>
  <c r="H216" i="1"/>
  <c r="I216" i="1"/>
  <c r="I209" i="1"/>
  <c r="H209" i="1"/>
  <c r="H231" i="1" l="1"/>
  <c r="I231" i="1"/>
  <c r="H232" i="1"/>
  <c r="I232" i="1"/>
  <c r="H233" i="1"/>
  <c r="I233" i="1"/>
  <c r="H234" i="1"/>
  <c r="I234" i="1"/>
  <c r="H235" i="1"/>
  <c r="I235" i="1"/>
  <c r="H236" i="1"/>
  <c r="I236" i="1"/>
  <c r="H237" i="1"/>
  <c r="I237" i="1"/>
  <c r="I230" i="1"/>
  <c r="H230" i="1"/>
  <c r="H220" i="1"/>
  <c r="I220" i="1"/>
  <c r="H221" i="1"/>
  <c r="I221" i="1"/>
  <c r="H222" i="1"/>
  <c r="I222" i="1"/>
  <c r="H223" i="1"/>
  <c r="I223" i="1"/>
  <c r="H224" i="1"/>
  <c r="I224" i="1"/>
  <c r="H225" i="1"/>
  <c r="I225" i="1"/>
  <c r="H226" i="1"/>
  <c r="I226" i="1"/>
  <c r="H227" i="1"/>
  <c r="I227" i="1"/>
  <c r="I219" i="1"/>
  <c r="H219" i="1"/>
  <c r="H100" i="1" l="1"/>
  <c r="E143" i="1" l="1"/>
  <c r="D145" i="1"/>
  <c r="D144" i="1"/>
  <c r="D142" i="1"/>
  <c r="D141" i="1"/>
  <c r="C144" i="1"/>
  <c r="C142" i="1"/>
  <c r="B142" i="1"/>
  <c r="C141"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E165" i="1"/>
  <c r="E183" i="1"/>
  <c r="E166" i="1"/>
  <c r="C176" i="1"/>
  <c r="C175" i="1"/>
  <c r="E175" i="1" s="1"/>
  <c r="E172" i="1"/>
  <c r="B179" i="1"/>
  <c r="B175" i="1"/>
  <c r="B176" i="1"/>
  <c r="E176" i="1" l="1"/>
  <c r="G349" i="1"/>
  <c r="G350" i="1"/>
  <c r="G351" i="1"/>
  <c r="G352" i="1"/>
  <c r="G353" i="1"/>
  <c r="G354" i="1"/>
  <c r="G355" i="1"/>
  <c r="G348" i="1"/>
  <c r="G340" i="1"/>
  <c r="G341" i="1"/>
  <c r="G342" i="1"/>
  <c r="G343" i="1"/>
  <c r="G344" i="1"/>
  <c r="G345" i="1"/>
  <c r="G346" i="1"/>
  <c r="G339" i="1"/>
  <c r="C308" i="1" l="1"/>
  <c r="C307"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273" i="1"/>
  <c r="F198" i="1"/>
  <c r="C273" i="1"/>
  <c r="E273" i="1"/>
  <c r="D128" i="1"/>
  <c r="B128" i="1"/>
  <c r="C100" i="1"/>
  <c r="G100" i="1"/>
  <c r="B100" i="1"/>
  <c r="B31" i="1"/>
  <c r="G308" i="1"/>
  <c r="I308" i="1" s="1"/>
  <c r="G309" i="1"/>
  <c r="G310" i="1"/>
  <c r="G311" i="1"/>
  <c r="G312" i="1"/>
  <c r="G313" i="1"/>
  <c r="G314" i="1"/>
  <c r="G307" i="1"/>
  <c r="I307" i="1" s="1"/>
  <c r="G329" i="1"/>
  <c r="G330" i="1"/>
  <c r="G331" i="1"/>
  <c r="G332" i="1"/>
  <c r="G333" i="1"/>
  <c r="G334" i="1"/>
  <c r="G335" i="1"/>
  <c r="G328" i="1"/>
  <c r="G319" i="1"/>
  <c r="G320" i="1"/>
  <c r="G321" i="1"/>
  <c r="G322" i="1"/>
  <c r="G323" i="1"/>
  <c r="G324" i="1"/>
  <c r="G325" i="1"/>
  <c r="G318" i="1"/>
  <c r="G298" i="1"/>
  <c r="G299" i="1"/>
  <c r="G300" i="1"/>
  <c r="G301" i="1"/>
  <c r="G302" i="1"/>
  <c r="G303" i="1"/>
  <c r="G304" i="1"/>
  <c r="G297" i="1"/>
  <c r="G287" i="1"/>
  <c r="G288" i="1"/>
  <c r="G289" i="1"/>
  <c r="G290" i="1"/>
  <c r="G291" i="1"/>
  <c r="G292" i="1"/>
  <c r="G293" i="1"/>
  <c r="G286" i="1"/>
  <c r="G277" i="1"/>
  <c r="G278" i="1"/>
  <c r="G279" i="1"/>
  <c r="G280" i="1"/>
  <c r="G281" i="1"/>
  <c r="G282" i="1"/>
  <c r="G283" i="1"/>
  <c r="G276" i="1"/>
  <c r="E68" i="1" l="1"/>
  <c r="E74" i="1"/>
  <c r="E75" i="1"/>
  <c r="E77" i="1"/>
  <c r="E69" i="1"/>
  <c r="E71" i="1"/>
  <c r="E70" i="1"/>
  <c r="E76" i="1"/>
  <c r="E89" i="1"/>
  <c r="E92" i="1"/>
  <c r="E86" i="1"/>
  <c r="E87" i="1"/>
  <c r="E93" i="1"/>
  <c r="E95" i="1"/>
  <c r="E88" i="1"/>
  <c r="E94" i="1"/>
  <c r="G315" i="1"/>
  <c r="G294" i="1"/>
  <c r="G284" i="1"/>
  <c r="C329" i="1"/>
  <c r="I329" i="1" s="1"/>
  <c r="C330" i="1"/>
  <c r="I330" i="1" s="1"/>
  <c r="C331" i="1"/>
  <c r="I331" i="1" s="1"/>
  <c r="C332" i="1"/>
  <c r="I332" i="1" s="1"/>
  <c r="C333" i="1"/>
  <c r="I333" i="1" s="1"/>
  <c r="C334" i="1"/>
  <c r="I334" i="1" s="1"/>
  <c r="C335" i="1"/>
  <c r="I335" i="1" s="1"/>
  <c r="C328" i="1"/>
  <c r="I328" i="1" s="1"/>
  <c r="D276" i="1"/>
  <c r="G336" i="1"/>
  <c r="G326" i="1"/>
  <c r="G305" i="1"/>
  <c r="D349" i="1"/>
  <c r="D350" i="1"/>
  <c r="D351" i="1"/>
  <c r="D352" i="1"/>
  <c r="D353" i="1"/>
  <c r="D354" i="1"/>
  <c r="D355" i="1"/>
  <c r="D348" i="1"/>
  <c r="D340" i="1"/>
  <c r="D341" i="1"/>
  <c r="D342" i="1"/>
  <c r="D343" i="1"/>
  <c r="D344" i="1"/>
  <c r="D345" i="1"/>
  <c r="D346" i="1"/>
  <c r="D339" i="1"/>
  <c r="C349" i="1"/>
  <c r="I349" i="1" s="1"/>
  <c r="C350" i="1"/>
  <c r="I350" i="1" s="1"/>
  <c r="C351" i="1"/>
  <c r="I351" i="1" s="1"/>
  <c r="C352" i="1"/>
  <c r="I352" i="1" s="1"/>
  <c r="C353" i="1"/>
  <c r="I353" i="1" s="1"/>
  <c r="C354" i="1"/>
  <c r="I354" i="1" s="1"/>
  <c r="C355" i="1"/>
  <c r="I355" i="1" s="1"/>
  <c r="C348" i="1"/>
  <c r="I348" i="1" s="1"/>
  <c r="C340" i="1"/>
  <c r="I340" i="1" s="1"/>
  <c r="C341" i="1"/>
  <c r="I341" i="1" s="1"/>
  <c r="C342" i="1"/>
  <c r="I342" i="1" s="1"/>
  <c r="C343" i="1"/>
  <c r="I343" i="1" s="1"/>
  <c r="C344" i="1"/>
  <c r="I344" i="1" s="1"/>
  <c r="C345" i="1"/>
  <c r="I345" i="1" s="1"/>
  <c r="C346" i="1"/>
  <c r="I346" i="1" s="1"/>
  <c r="C339" i="1"/>
  <c r="I339" i="1" s="1"/>
  <c r="D329" i="1"/>
  <c r="F329" i="1" s="1"/>
  <c r="D330" i="1"/>
  <c r="D331" i="1"/>
  <c r="D332" i="1"/>
  <c r="D333" i="1"/>
  <c r="D334" i="1"/>
  <c r="D335" i="1"/>
  <c r="D328" i="1"/>
  <c r="D319" i="1"/>
  <c r="D320" i="1"/>
  <c r="D321" i="1"/>
  <c r="D322" i="1"/>
  <c r="D323" i="1"/>
  <c r="D324" i="1"/>
  <c r="D325" i="1"/>
  <c r="D318" i="1"/>
  <c r="D308" i="1"/>
  <c r="F308" i="1" s="1"/>
  <c r="D309" i="1"/>
  <c r="D310" i="1"/>
  <c r="D311" i="1"/>
  <c r="D312" i="1"/>
  <c r="D313" i="1"/>
  <c r="D314" i="1"/>
  <c r="D298" i="1"/>
  <c r="D299" i="1"/>
  <c r="D300" i="1"/>
  <c r="D301" i="1"/>
  <c r="D302" i="1"/>
  <c r="D303" i="1"/>
  <c r="D304" i="1"/>
  <c r="D297" i="1"/>
  <c r="D307" i="1"/>
  <c r="D287" i="1"/>
  <c r="D288" i="1"/>
  <c r="D289" i="1"/>
  <c r="D290" i="1"/>
  <c r="D291" i="1"/>
  <c r="D292" i="1"/>
  <c r="D293" i="1"/>
  <c r="D286" i="1"/>
  <c r="D277" i="1"/>
  <c r="D278" i="1"/>
  <c r="D279" i="1"/>
  <c r="D280" i="1"/>
  <c r="D281" i="1"/>
  <c r="D282" i="1"/>
  <c r="D283" i="1"/>
  <c r="C319" i="1"/>
  <c r="I319" i="1" s="1"/>
  <c r="C320" i="1"/>
  <c r="I320" i="1" s="1"/>
  <c r="C321" i="1"/>
  <c r="I321" i="1" s="1"/>
  <c r="C322" i="1"/>
  <c r="I322" i="1" s="1"/>
  <c r="C323" i="1"/>
  <c r="I323" i="1" s="1"/>
  <c r="C324" i="1"/>
  <c r="I324" i="1" s="1"/>
  <c r="C325" i="1"/>
  <c r="I325" i="1" s="1"/>
  <c r="C318" i="1"/>
  <c r="I318" i="1" s="1"/>
  <c r="C310" i="1"/>
  <c r="I310" i="1" s="1"/>
  <c r="C311" i="1"/>
  <c r="I311" i="1" s="1"/>
  <c r="C312" i="1"/>
  <c r="I312" i="1" s="1"/>
  <c r="C313" i="1"/>
  <c r="I313" i="1" s="1"/>
  <c r="C314" i="1"/>
  <c r="I314" i="1" s="1"/>
  <c r="C309" i="1"/>
  <c r="C298" i="1"/>
  <c r="I298" i="1" s="1"/>
  <c r="C299" i="1"/>
  <c r="I299" i="1" s="1"/>
  <c r="C300" i="1"/>
  <c r="I300" i="1" s="1"/>
  <c r="C301" i="1"/>
  <c r="I301" i="1" s="1"/>
  <c r="C302" i="1"/>
  <c r="I302" i="1" s="1"/>
  <c r="C303" i="1"/>
  <c r="I303" i="1" s="1"/>
  <c r="C304" i="1"/>
  <c r="I304" i="1" s="1"/>
  <c r="C297" i="1"/>
  <c r="I297" i="1" s="1"/>
  <c r="C287" i="1"/>
  <c r="I287" i="1" s="1"/>
  <c r="C288" i="1"/>
  <c r="I288" i="1" s="1"/>
  <c r="C289" i="1"/>
  <c r="I289" i="1" s="1"/>
  <c r="C290" i="1"/>
  <c r="I290" i="1" s="1"/>
  <c r="C291" i="1"/>
  <c r="I291" i="1" s="1"/>
  <c r="C292" i="1"/>
  <c r="I292" i="1" s="1"/>
  <c r="C293" i="1"/>
  <c r="I293" i="1" s="1"/>
  <c r="C286" i="1"/>
  <c r="I286" i="1" s="1"/>
  <c r="C277" i="1"/>
  <c r="I277" i="1" s="1"/>
  <c r="C278" i="1"/>
  <c r="I278" i="1" s="1"/>
  <c r="C279" i="1"/>
  <c r="I279" i="1" s="1"/>
  <c r="C280" i="1"/>
  <c r="I280" i="1" s="1"/>
  <c r="C281" i="1"/>
  <c r="I281" i="1" s="1"/>
  <c r="C282" i="1"/>
  <c r="I282" i="1" s="1"/>
  <c r="C283" i="1"/>
  <c r="I283" i="1" s="1"/>
  <c r="C276" i="1"/>
  <c r="F240" i="1"/>
  <c r="G240" i="1" s="1"/>
  <c r="F231" i="1"/>
  <c r="G231" i="1" s="1"/>
  <c r="F232" i="1"/>
  <c r="G232" i="1" s="1"/>
  <c r="F233" i="1"/>
  <c r="G233" i="1" s="1"/>
  <c r="F234" i="1"/>
  <c r="G234" i="1" s="1"/>
  <c r="F235" i="1"/>
  <c r="G235" i="1" s="1"/>
  <c r="F236" i="1"/>
  <c r="G236" i="1" s="1"/>
  <c r="F237" i="1"/>
  <c r="G237" i="1" s="1"/>
  <c r="F230" i="1"/>
  <c r="G230" i="1" s="1"/>
  <c r="F220" i="1"/>
  <c r="G220" i="1" s="1"/>
  <c r="F221" i="1"/>
  <c r="G221" i="1" s="1"/>
  <c r="F222" i="1"/>
  <c r="G222" i="1" s="1"/>
  <c r="F223" i="1"/>
  <c r="G223" i="1" s="1"/>
  <c r="F224" i="1"/>
  <c r="G224" i="1" s="1"/>
  <c r="F225" i="1"/>
  <c r="G225" i="1" s="1"/>
  <c r="F226" i="1"/>
  <c r="G226" i="1" s="1"/>
  <c r="F227" i="1"/>
  <c r="G227" i="1" s="1"/>
  <c r="F219" i="1"/>
  <c r="G219" i="1" s="1"/>
  <c r="F210" i="1"/>
  <c r="G210" i="1" s="1"/>
  <c r="F211" i="1"/>
  <c r="G211" i="1" s="1"/>
  <c r="F212" i="1"/>
  <c r="G212" i="1" s="1"/>
  <c r="F213" i="1"/>
  <c r="G213" i="1" s="1"/>
  <c r="F214" i="1"/>
  <c r="G214" i="1" s="1"/>
  <c r="F215" i="1"/>
  <c r="G215" i="1" s="1"/>
  <c r="F216" i="1"/>
  <c r="G216" i="1" s="1"/>
  <c r="F209" i="1"/>
  <c r="G209" i="1" s="1"/>
  <c r="F202" i="1"/>
  <c r="G202" i="1" s="1"/>
  <c r="F203" i="1"/>
  <c r="G203" i="1" s="1"/>
  <c r="F204" i="1"/>
  <c r="G204" i="1" s="1"/>
  <c r="F205" i="1"/>
  <c r="G205" i="1" s="1"/>
  <c r="F206" i="1"/>
  <c r="G206" i="1" s="1"/>
  <c r="F201" i="1"/>
  <c r="G201" i="1" s="1"/>
  <c r="H240" i="1"/>
  <c r="I240" i="1"/>
  <c r="D31" i="1"/>
  <c r="D30" i="1"/>
  <c r="D29" i="1"/>
  <c r="C31" i="1"/>
  <c r="C30" i="1"/>
  <c r="C29" i="1"/>
  <c r="B30" i="1"/>
  <c r="B29" i="1"/>
  <c r="C18" i="1"/>
  <c r="D18" i="1"/>
  <c r="D17" i="1"/>
  <c r="D16" i="1"/>
  <c r="C17" i="1"/>
  <c r="B18" i="1"/>
  <c r="B17" i="1"/>
  <c r="C16" i="1"/>
  <c r="B16" i="1"/>
  <c r="F333" i="1" l="1"/>
  <c r="E31" i="1"/>
  <c r="I309" i="1"/>
  <c r="C315" i="1"/>
  <c r="I315" i="1" s="1"/>
  <c r="F276" i="1"/>
  <c r="F303" i="1"/>
  <c r="F299" i="1"/>
  <c r="F323" i="1"/>
  <c r="F319" i="1"/>
  <c r="F355" i="1"/>
  <c r="F281" i="1"/>
  <c r="F291" i="1"/>
  <c r="F312" i="1"/>
  <c r="F302" i="1"/>
  <c r="F298" i="1"/>
  <c r="C284" i="1"/>
  <c r="I284" i="1" s="1"/>
  <c r="F277" i="1"/>
  <c r="F287" i="1"/>
  <c r="F283" i="1"/>
  <c r="F279" i="1"/>
  <c r="F293" i="1"/>
  <c r="F289" i="1"/>
  <c r="F314" i="1"/>
  <c r="F310" i="1"/>
  <c r="F325" i="1"/>
  <c r="F321" i="1"/>
  <c r="F335" i="1"/>
  <c r="F331" i="1"/>
  <c r="F297" i="1"/>
  <c r="F301" i="1"/>
  <c r="F346" i="1"/>
  <c r="F342" i="1"/>
  <c r="F351" i="1"/>
  <c r="F282" i="1"/>
  <c r="F278" i="1"/>
  <c r="F292" i="1"/>
  <c r="F288" i="1"/>
  <c r="F304" i="1"/>
  <c r="F300" i="1"/>
  <c r="F313" i="1"/>
  <c r="F309" i="1"/>
  <c r="F324" i="1"/>
  <c r="F320" i="1"/>
  <c r="F334" i="1"/>
  <c r="F330" i="1"/>
  <c r="F345" i="1"/>
  <c r="F341" i="1"/>
  <c r="F354" i="1"/>
  <c r="F350" i="1"/>
  <c r="F344" i="1"/>
  <c r="F340" i="1"/>
  <c r="F353" i="1"/>
  <c r="F349" i="1"/>
  <c r="F280" i="1"/>
  <c r="D294" i="1"/>
  <c r="F286" i="1"/>
  <c r="F290" i="1"/>
  <c r="D315" i="1"/>
  <c r="F307" i="1"/>
  <c r="F311" i="1"/>
  <c r="D326" i="1"/>
  <c r="F318" i="1"/>
  <c r="F322" i="1"/>
  <c r="D336" i="1"/>
  <c r="F328" i="1"/>
  <c r="F332" i="1"/>
  <c r="F339" i="1"/>
  <c r="F343" i="1"/>
  <c r="F348" i="1"/>
  <c r="F352" i="1"/>
  <c r="D284" i="1"/>
  <c r="I276" i="1"/>
  <c r="D305" i="1"/>
  <c r="C294" i="1"/>
  <c r="I294" i="1" s="1"/>
  <c r="C305" i="1"/>
  <c r="I305" i="1" s="1"/>
  <c r="C336" i="1"/>
  <c r="I336" i="1" s="1"/>
  <c r="C326" i="1"/>
  <c r="I326" i="1" s="1"/>
  <c r="E29" i="1"/>
  <c r="E30" i="1"/>
  <c r="J23" i="7"/>
  <c r="J22" i="7"/>
  <c r="J21" i="7"/>
  <c r="J20" i="7"/>
  <c r="J17" i="7"/>
  <c r="J16" i="7"/>
  <c r="J15" i="7"/>
  <c r="J14" i="7"/>
  <c r="J11" i="7"/>
  <c r="J10" i="7"/>
  <c r="J9" i="7"/>
  <c r="J8" i="7"/>
  <c r="J3" i="7"/>
  <c r="J4" i="7"/>
  <c r="J5" i="7"/>
  <c r="J2" i="7"/>
  <c r="B22" i="1"/>
  <c r="B23" i="1"/>
  <c r="D23" i="1"/>
  <c r="D22" i="1"/>
  <c r="C23" i="1"/>
  <c r="C22" i="1"/>
  <c r="D21" i="1"/>
  <c r="C21" i="1"/>
  <c r="B21" i="1"/>
  <c r="F315" i="1" l="1"/>
  <c r="B101" i="1"/>
  <c r="E21" i="1"/>
  <c r="F284" i="1"/>
  <c r="F336" i="1"/>
  <c r="F326" i="1"/>
  <c r="F305" i="1"/>
  <c r="F294"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36" i="1" l="1"/>
  <c r="H326" i="1"/>
  <c r="H315" i="1"/>
  <c r="H305" i="1"/>
  <c r="H294" i="1"/>
  <c r="H284" i="1"/>
  <c r="E336" i="1"/>
  <c r="E326" i="1"/>
  <c r="E305" i="1"/>
  <c r="E294" i="1"/>
  <c r="E284" i="1"/>
  <c r="A271" i="1"/>
  <c r="A195"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D22" i="6" s="1"/>
  <c r="C33" i="6"/>
  <c r="B33" i="6"/>
  <c r="C54" i="6"/>
  <c r="B54" i="6"/>
  <c r="C64" i="6"/>
  <c r="B64" i="6"/>
  <c r="E64" i="6"/>
  <c r="E54" i="6"/>
  <c r="E43" i="6"/>
  <c r="F43" i="6" s="1"/>
  <c r="E33" i="6"/>
  <c r="E22" i="6"/>
  <c r="D43" i="6"/>
  <c r="E12" i="6"/>
  <c r="F22" i="6" l="1"/>
  <c r="D33" i="6"/>
  <c r="D12" i="6"/>
  <c r="F64" i="6"/>
  <c r="D64" i="6"/>
  <c r="F12" i="6"/>
  <c r="F33" i="6"/>
  <c r="D54" i="6"/>
  <c r="F54" i="6"/>
  <c r="C59" i="1" l="1"/>
</calcChain>
</file>

<file path=xl/sharedStrings.xml><?xml version="1.0" encoding="utf-8"?>
<sst xmlns="http://schemas.openxmlformats.org/spreadsheetml/2006/main" count="2316" uniqueCount="725">
  <si>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</si>
  <si>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</si>
  <si>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</si>
  <si>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</si>
  <si>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</si>
  <si>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</si>
  <si>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</si>
  <si>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</si>
  <si>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</si>
  <si>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</si>
  <si>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</si>
  <si>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</si>
  <si>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</si>
  <si>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</si>
  <si>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</si>
  <si>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</si>
  <si>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</si>
  <si>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</si>
  <si>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</si>
  <si>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</si>
  <si>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</si>
  <si>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</si>
  <si>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</si>
  <si>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</si>
  <si>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</si>
  <si>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</si>
  <si>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</si>
  <si>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</si>
  <si>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</si>
  <si>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</si>
  <si>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</si>
  <si>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</si>
  <si>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</si>
  <si>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</si>
  <si>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</si>
  <si>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</si>
  <si>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</si>
  <si>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</si>
  <si>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</si>
  <si>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</si>
  <si>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</si>
  <si>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</si>
  <si>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</si>
  <si>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</si>
  <si>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</si>
  <si>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</si>
  <si>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</si>
  <si>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</si>
  <si>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</si>
  <si>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</si>
  <si>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</si>
  <si>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</si>
  <si>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</si>
  <si>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</si>
  <si>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</si>
  <si>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</si>
  <si>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</si>
  <si>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</si>
  <si>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</si>
  <si>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</si>
  <si>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</si>
  <si>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</si>
  <si>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</si>
  <si>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</si>
  <si>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</si>
  <si>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</si>
  <si>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</si>
  <si>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</si>
  <si>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</si>
  <si>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</si>
  <si>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</si>
  <si>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</si>
  <si>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</si>
  <si>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</si>
  <si>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</si>
  <si>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</si>
  <si>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</si>
  <si>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</si>
  <si>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</si>
  <si>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</si>
  <si>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</si>
  <si>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</si>
  <si>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</si>
  <si>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</si>
  <si>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</si>
  <si>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</si>
  <si>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</si>
  <si>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</si>
  <si>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</si>
  <si>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</si>
  <si>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</si>
  <si>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</si>
  <si>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</si>
  <si>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</si>
  <si>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</si>
  <si>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</si>
  <si>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</si>
  <si>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</si>
  <si>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</si>
  <si>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</si>
  <si>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</si>
  <si>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</si>
  <si>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</si>
  <si>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</si>
  <si>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</si>
  <si>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</si>
  <si>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</si>
  <si>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</si>
  <si>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</si>
  <si>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</si>
  <si>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</si>
  <si>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</si>
  <si>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</si>
  <si>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</si>
  <si>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</si>
  <si>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</si>
  <si>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</si>
  <si>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</si>
  <si>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</si>
  <si>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</si>
  <si>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</si>
  <si>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</si>
  <si>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</si>
  <si>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</si>
  <si>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</si>
  <si>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</si>
  <si>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</si>
  <si>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</si>
  <si>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</si>
  <si>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</si>
  <si>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</si>
  <si>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</si>
  <si>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</si>
  <si>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</si>
  <si>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</si>
  <si>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</si>
  <si>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</si>
  <si>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</si>
  <si>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</si>
  <si>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</si>
  <si>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</si>
  <si>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</si>
  <si>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</si>
  <si>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</si>
  <si>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</si>
  <si>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</si>
  <si>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</si>
  <si>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</si>
  <si>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</si>
  <si>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</si>
  <si>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</si>
  <si>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</si>
  <si>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</si>
  <si>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</si>
  <si>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</si>
  <si>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</si>
  <si>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</si>
  <si>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</si>
  <si>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</si>
  <si>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</si>
  <si>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</si>
  <si>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</si>
  <si>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</si>
  <si>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</si>
  <si>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</si>
  <si>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</si>
  <si>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</si>
  <si>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</si>
  <si>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</si>
  <si>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</si>
  <si>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</si>
  <si>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</si>
  <si>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</si>
  <si>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</si>
  <si>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</si>
  <si>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</si>
  <si>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</si>
  <si>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</si>
  <si>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</si>
  <si>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</si>
  <si>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</si>
  <si>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</si>
  <si>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</si>
  <si>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</si>
  <si>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</si>
  <si>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</si>
  <si>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</si>
  <si>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</si>
  <si>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</si>
  <si>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</si>
  <si>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</si>
  <si>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</si>
  <si>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</si>
  <si>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</si>
  <si>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</si>
  <si>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</si>
  <si>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</si>
  <si>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</si>
  <si>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</si>
  <si>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</si>
  <si>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</si>
  <si>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</si>
  <si>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</si>
  <si>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</si>
  <si>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</si>
  <si>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</si>
  <si>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</si>
  <si>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</si>
  <si>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</si>
  <si>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</si>
  <si>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</si>
  <si>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</si>
  <si>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</si>
  <si>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</si>
  <si>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</si>
  <si>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</si>
  <si>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</si>
  <si>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</si>
  <si>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</si>
  <si>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</si>
  <si>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</si>
  <si>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</si>
  <si>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</si>
  <si>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</si>
  <si>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</si>
  <si>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</si>
  <si>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</si>
  <si>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</si>
  <si>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</si>
  <si>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</si>
  <si>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</si>
  <si>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</si>
  <si>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</si>
  <si>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</si>
  <si>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</si>
  <si>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</si>
  <si>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</si>
  <si>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</si>
  <si>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</si>
  <si>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</si>
  <si>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</si>
  <si>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</si>
  <si>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</si>
  <si>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</si>
  <si>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</si>
  <si>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</si>
  <si>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</si>
  <si>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</si>
  <si>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</si>
  <si>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</si>
  <si>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</si>
  <si>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</si>
  <si>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</si>
  <si>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</si>
  <si>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</si>
  <si>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</si>
  <si>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</si>
  <si>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</si>
  <si>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</si>
  <si>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</si>
  <si>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</si>
  <si>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</si>
  <si>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</si>
  <si>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</si>
  <si>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</si>
  <si>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</si>
  <si>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</si>
  <si>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</si>
  <si>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</si>
  <si>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</si>
  <si>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</si>
  <si>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</si>
  <si>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</si>
  <si>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</si>
  <si>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</si>
  <si>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</si>
  <si>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</si>
  <si>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</si>
  <si>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</si>
  <si>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</si>
  <si>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</si>
  <si>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</si>
  <si>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</si>
  <si>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</si>
  <si>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</si>
  <si>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</si>
  <si>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</si>
  <si>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</si>
  <si>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</si>
  <si>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</si>
  <si>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</si>
  <si>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</si>
  <si>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</si>
  <si>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</si>
  <si>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</si>
  <si>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</si>
  <si>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</si>
  <si>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</si>
  <si>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</si>
  <si>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</si>
  <si>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</si>
  <si>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</si>
  <si>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</si>
  <si>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</si>
  <si>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</si>
  <si>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</si>
  <si>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</si>
  <si>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</si>
  <si>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</si>
  <si>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</si>
  <si>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</si>
  <si>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</si>
  <si>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</si>
  <si>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</si>
  <si>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</si>
  <si>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</si>
  <si>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</si>
  <si>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</si>
  <si>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</si>
  <si>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</si>
  <si>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</si>
  <si>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</si>
  <si>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</si>
  <si>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</si>
  <si>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</si>
  <si>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</si>
  <si>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</si>
  <si>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</si>
  <si>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</si>
  <si>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</si>
  <si>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</si>
  <si>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</si>
  <si>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</si>
  <si>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</si>
  <si>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</si>
  <si>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</si>
  <si>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</si>
  <si>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</si>
  <si>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</si>
  <si>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</si>
  <si>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</si>
  <si>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</si>
  <si>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</si>
  <si>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</si>
  <si>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</si>
  <si>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</si>
  <si>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</si>
  <si>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</si>
  <si>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</si>
  <si>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</si>
  <si>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</si>
  <si>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</si>
  <si>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</si>
  <si>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</si>
  <si>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</si>
  <si>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</si>
  <si>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</si>
  <si>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</si>
  <si>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</si>
  <si>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</si>
  <si>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</si>
  <si>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</si>
  <si>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</si>
  <si>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</si>
  <si>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</si>
  <si>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</si>
  <si>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</si>
  <si>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</si>
  <si>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</si>
  <si>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</si>
  <si>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</si>
  <si>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</si>
  <si>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</si>
  <si>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</si>
  <si>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</si>
  <si>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</si>
  <si>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</si>
  <si>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</si>
  <si>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</si>
  <si>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</si>
  <si>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</si>
  <si>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</si>
  <si>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</si>
  <si>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</si>
  <si>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</si>
  <si>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</si>
  <si>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</si>
  <si>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</si>
  <si>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</si>
  <si>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</si>
  <si>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</si>
  <si>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</si>
  <si>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</si>
  <si>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</si>
  <si>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</si>
  <si>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</si>
  <si>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</si>
  <si>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</si>
  <si>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</si>
  <si>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</si>
  <si>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</si>
  <si>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</si>
  <si>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</si>
  <si>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</si>
  <si>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</si>
  <si>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</si>
  <si>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</si>
  <si>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</si>
  <si>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</si>
  <si>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</si>
  <si>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</si>
  <si>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</si>
  <si>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</si>
  <si>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</si>
  <si>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</si>
  <si>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</si>
  <si>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</si>
  <si>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</si>
  <si>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</si>
  <si>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</si>
  <si>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</si>
  <si>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</si>
  <si>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</si>
  <si>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</si>
  <si>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</si>
  <si>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</si>
  <si>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</si>
  <si>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</si>
  <si>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</si>
  <si>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</si>
  <si>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</si>
  <si>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</si>
  <si>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</si>
  <si>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</si>
  <si>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</si>
  <si>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</si>
  <si>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</si>
  <si>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</si>
  <si>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</si>
  <si>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</si>
  <si>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</si>
  <si>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</si>
  <si>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</si>
  <si>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</si>
  <si>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</si>
  <si>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</si>
  <si>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</si>
  <si>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</si>
  <si>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</si>
  <si>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</si>
  <si>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</si>
  <si>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</si>
  <si>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</si>
  <si>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</si>
  <si>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</si>
  <si>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</si>
  <si>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</si>
  <si>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</si>
  <si>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</si>
  <si>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</si>
  <si>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</si>
  <si>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</si>
  <si>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</si>
  <si>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</si>
  <si>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</si>
  <si>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</si>
  <si>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</si>
  <si>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</si>
  <si>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</si>
  <si>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</si>
  <si>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</si>
  <si>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</si>
  <si>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</si>
  <si>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</si>
  <si>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</si>
  <si>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</si>
  <si>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</si>
  <si>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</si>
  <si>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</si>
  <si>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</si>
  <si>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</si>
  <si>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</si>
  <si>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</si>
  <si>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</si>
  <si>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</si>
  <si>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</si>
  <si>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</si>
  <si>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</si>
  <si>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</si>
  <si>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</si>
  <si>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</si>
  <si>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</si>
  <si>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</si>
  <si>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</si>
  <si>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</si>
  <si>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</si>
  <si>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</si>
  <si>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</si>
  <si>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</si>
  <si>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</si>
  <si>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</si>
  <si>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</si>
  <si>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</si>
  <si>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</si>
  <si>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</si>
  <si>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</si>
  <si>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</si>
  <si>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</si>
  <si>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Responsible Investment Index</t>
  </si>
  <si>
    <t>JS3512</t>
  </si>
  <si>
    <t>Energy</t>
  </si>
  <si>
    <t>JI0060</t>
  </si>
  <si>
    <t>JI0055</t>
  </si>
  <si>
    <t>JI0050</t>
  </si>
  <si>
    <t>Consumer Discretionary</t>
  </si>
  <si>
    <t>JI0040</t>
  </si>
  <si>
    <t>Consumer Staples</t>
  </si>
  <si>
    <t>JI0045</t>
  </si>
  <si>
    <t>JI0030</t>
  </si>
  <si>
    <t>JI0010</t>
  </si>
  <si>
    <t>JI0015</t>
  </si>
  <si>
    <t>JI0020</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</si>
  <si>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</si>
  <si>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</si>
  <si>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</si>
  <si>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</si>
  <si>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</si>
  <si>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</si>
  <si>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</si>
  <si>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</si>
  <si>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</si>
  <si>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</si>
  <si>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</si>
  <si>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</si>
  <si>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</si>
  <si>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</si>
  <si>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</si>
  <si>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</si>
  <si>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</si>
  <si>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</si>
  <si>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</si>
  <si>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</si>
  <si>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</si>
  <si>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</si>
  <si>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</si>
  <si>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</si>
  <si>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</si>
  <si>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</si>
  <si>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</si>
  <si>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</si>
  <si>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</si>
  <si>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</si>
  <si>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</si>
  <si>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</si>
  <si>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</si>
  <si>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</si>
  <si>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</si>
  <si>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</si>
  <si>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</si>
  <si>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</si>
  <si>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</si>
  <si>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</si>
  <si>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</si>
  <si>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</si>
  <si>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</si>
  <si>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</si>
  <si>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</si>
  <si>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</si>
  <si>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</si>
  <si>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</si>
  <si>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</si>
  <si>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</si>
  <si>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</si>
  <si>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</si>
  <si>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</si>
  <si>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</si>
  <si>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</si>
  <si>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</si>
  <si>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</si>
  <si>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</si>
  <si>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</si>
  <si>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</si>
  <si>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</si>
  <si>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</si>
  <si>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</si>
  <si>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</si>
  <si>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</si>
  <si>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</si>
  <si>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</si>
  <si>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</si>
  <si>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</si>
  <si>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</si>
  <si>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</si>
  <si>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</si>
  <si>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</si>
  <si>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</si>
  <si>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</si>
  <si>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</si>
  <si>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</si>
  <si>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</si>
  <si>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</si>
  <si>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</si>
  <si>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</si>
  <si>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</si>
  <si>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</si>
  <si>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</si>
  <si>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</si>
  <si>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</si>
  <si>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</si>
  <si>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</si>
  <si>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</si>
  <si>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</si>
  <si>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</si>
  <si>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</si>
  <si>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</si>
  <si>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</si>
  <si>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</si>
  <si>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</si>
  <si>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</si>
  <si>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</si>
  <si>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</si>
  <si>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J203VOF</t>
  </si>
  <si>
    <t>J508</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</si>
  <si>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</si>
  <si>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</si>
  <si>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</si>
  <si>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</si>
  <si>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</si>
  <si>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</si>
  <si>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</si>
  <si>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</si>
  <si>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</si>
  <si>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</si>
  <si>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</si>
  <si>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</si>
  <si>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</si>
  <si>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</si>
  <si>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</si>
  <si>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</si>
  <si>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</si>
  <si>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</si>
  <si>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</si>
  <si>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</si>
  <si>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</si>
  <si>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</si>
  <si>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</si>
  <si>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</si>
  <si>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</si>
  <si>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</si>
  <si>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</si>
  <si>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</si>
  <si>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</si>
  <si>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</si>
  <si>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</si>
  <si>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</si>
  <si>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</si>
  <si>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</si>
  <si>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</si>
  <si>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</si>
  <si>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</si>
  <si>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</si>
  <si>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</si>
  <si>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</si>
  <si>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</si>
  <si>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</si>
  <si>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</si>
  <si>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</si>
  <si>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</si>
  <si>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</si>
  <si>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</si>
  <si>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</si>
  <si>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</si>
  <si>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</si>
  <si>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</si>
  <si>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MainBoardCode</t>
  </si>
  <si>
    <t>TotalCompaniesListed</t>
  </si>
  <si>
    <t>NewListings</t>
  </si>
  <si>
    <t>DeListings</t>
  </si>
  <si>
    <t>LeftBoard</t>
  </si>
  <si>
    <t>JoinedBoard</t>
  </si>
  <si>
    <t>NetListed</t>
  </si>
  <si>
    <t>DomesticLisitings</t>
  </si>
  <si>
    <t>ForeignLisitings</t>
  </si>
  <si>
    <t>BEE</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</si>
  <si>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</si>
  <si>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</si>
  <si>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</si>
  <si>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</si>
  <si>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</si>
  <si>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</si>
  <si>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</si>
  <si>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</si>
  <si>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</si>
  <si>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</si>
  <si>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</si>
  <si>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</si>
  <si>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</si>
  <si>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</si>
  <si>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</si>
  <si>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</si>
  <si>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</si>
  <si>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</si>
  <si>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</si>
  <si>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</si>
  <si>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</si>
  <si>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</si>
  <si>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Other Trade - I</t>
  </si>
  <si>
    <t>Repo 1</t>
  </si>
  <si>
    <t>Repo 2</t>
  </si>
  <si>
    <t>Standard Trade</t>
  </si>
  <si>
    <t>Standard Trade (Spot)</t>
  </si>
  <si>
    <t>Structured Deal</t>
  </si>
  <si>
    <t>TradeMonth</t>
  </si>
  <si>
    <t>2021/12</t>
  </si>
  <si>
    <t>CorporateActionTypeCode</t>
  </si>
  <si>
    <t>SUM_TotalValue</t>
  </si>
  <si>
    <t>GI</t>
  </si>
  <si>
    <t>SI</t>
  </si>
  <si>
    <t>SO</t>
  </si>
  <si>
    <t>SS</t>
  </si>
  <si>
    <t>TU</t>
  </si>
  <si>
    <t>AS</t>
  </si>
  <si>
    <t>03/2020</t>
  </si>
  <si>
    <t>Position in the world league in November 2021 (based on the WFE statistics)</t>
  </si>
  <si>
    <t>Note: The monthly "local liquidity"  using the value traded and Strate market capitalisation is 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</si>
</sst>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7">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65"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xf numFmtId="166" fontId="50" fillId="0" borderId="0" xfId="0" applyNumberFormat="1" applyFont="1"/>
    <xf numFmtId="166" fontId="27" fillId="0" borderId="0" xfId="0" applyNumberFormat="1" applyFont="1" applyFill="1" applyAlignment="1">
      <alignment horizontal="right"/>
    </xf>
    <xf numFmtId="166" fontId="27" fillId="0" borderId="0" xfId="0" applyNumberFormat="1" applyFont="1" applyFill="1"/>
    <xf numFmtId="166" fontId="27" fillId="0" borderId="11" xfId="0" applyNumberFormat="1" applyFont="1" applyFill="1" applyBorder="1"/>
    <xf numFmtId="166" fontId="50" fillId="0" borderId="11" xfId="0" applyNumberFormat="1" applyFont="1" applyBorder="1"/>
    <xf numFmtId="167" fontId="27" fillId="0" borderId="0" xfId="0" applyNumberFormat="1" applyFont="1" applyAlignment="1">
      <alignment horizontal="right"/>
    </xf>
    <xf numFmtId="167" fontId="50" fillId="0" borderId="0" xfId="0" applyNumberFormat="1" applyFont="1"/>
    <xf numFmtId="14" fontId="27" fillId="0" borderId="0" xfId="0" applyNumberFormat="1" applyFont="1" applyFill="1" applyAlignment="1">
      <alignment horizontal="right"/>
    </xf>
    <xf numFmtId="166"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6" fontId="0" fillId="0" borderId="0" xfId="1" applyNumberFormat="1" applyFont="1" applyAlignment="1">
      <alignment horizontal="center"/>
    </xf>
    <xf numFmtId="166" fontId="22"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188</xdr:row>
      <xdr:rowOff>19049</xdr:rowOff>
    </xdr:from>
    <xdr:to>
      <xdr:col>8</xdr:col>
      <xdr:colOff>1028699</xdr:colOff>
      <xdr:row>193</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264</xdr:row>
      <xdr:rowOff>0</xdr:rowOff>
    </xdr:from>
    <xdr:to>
      <xdr:col>8</xdr:col>
      <xdr:colOff>1028699</xdr:colOff>
      <xdr:row>269</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356"/>
  <sheetViews>
    <sheetView showGridLines="0" tabSelected="1" zoomScaleNormal="100" workbookViewId="0">
      <selection activeCell="I149" sqref="I149"/>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44561</v>
      </c>
    </row>
    <row r="7" spans="1:12" x14ac:dyDescent="0.25">
      <c r="A7" s="107" t="str">
        <f>"Market Profile - "&amp; TEXT($H$3,"MMM")&amp;" "&amp;TEXT($H$3,"YYYY")</f>
        <v>Market Profile - Dec 2021</v>
      </c>
    </row>
    <row r="8" spans="1:12" x14ac:dyDescent="0.25">
      <c r="A8" s="107"/>
      <c r="G8" s="377" t="s">
        <v>176</v>
      </c>
      <c r="H8" s="377"/>
      <c r="I8" s="377"/>
    </row>
    <row r="9" spans="1:12" x14ac:dyDescent="0.25">
      <c r="A9" s="107"/>
      <c r="G9" s="377"/>
      <c r="H9" s="377"/>
      <c r="I9" s="377"/>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9" t="s">
        <v>148</v>
      </c>
      <c r="B13" s="269" t="s">
        <v>1</v>
      </c>
      <c r="C13" s="269" t="s">
        <v>157</v>
      </c>
      <c r="D13" s="269" t="s">
        <v>157</v>
      </c>
      <c r="E13" s="269" t="s">
        <v>2</v>
      </c>
      <c r="F13" s="269"/>
      <c r="G13" s="269"/>
      <c r="H13" s="269"/>
      <c r="I13" s="270"/>
      <c r="K13" s="165"/>
      <c r="L13" s="165"/>
    </row>
    <row r="14" spans="1:12" s="107" customFormat="1" ht="12.75" customHeight="1" x14ac:dyDescent="0.25">
      <c r="A14" s="379"/>
      <c r="B14" s="269" t="s">
        <v>3</v>
      </c>
      <c r="C14" s="269" t="s">
        <v>4</v>
      </c>
      <c r="D14" s="269" t="s">
        <v>4</v>
      </c>
      <c r="E14" s="269" t="s">
        <v>5</v>
      </c>
      <c r="F14" s="269"/>
      <c r="G14" s="269"/>
      <c r="H14" s="269"/>
      <c r="I14" s="270"/>
      <c r="K14" s="165"/>
      <c r="L14" s="165"/>
    </row>
    <row r="15" spans="1:12" s="107" customFormat="1" ht="12.75" customHeight="1" thickBot="1" x14ac:dyDescent="0.3">
      <c r="A15" s="380"/>
      <c r="B15" s="271" t="str">
        <f>TEXT($H$3,"MMM")&amp;" "&amp;TEXT($H$3,"YYYY")</f>
        <v>Dec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107</v>
      </c>
      <c r="B16" s="126">
        <f>Data!D2</f>
        <v>5490376</v>
      </c>
      <c r="C16" s="126">
        <f>Data!D5</f>
        <v>81587931</v>
      </c>
      <c r="D16" s="238">
        <f>Data!D8</f>
        <v>92970422</v>
      </c>
      <c r="E16" s="275">
        <f>(C16-D16)/ABS(D16)</f>
        <v>-0.12243131476804527</v>
      </c>
      <c r="F16" s="369">
        <v>92970422</v>
      </c>
      <c r="G16" s="349">
        <v>76554772</v>
      </c>
      <c r="H16" s="349">
        <v>70356164</v>
      </c>
      <c r="I16" s="349">
        <v>67786095</v>
      </c>
      <c r="J16" s="3"/>
      <c r="K16" s="164"/>
      <c r="L16" s="164"/>
    </row>
    <row r="17" spans="1:12" ht="12.75" customHeight="1" x14ac:dyDescent="0.25">
      <c r="A17" s="237" t="s">
        <v>108</v>
      </c>
      <c r="B17" s="126">
        <f>Data!B2/1000000</f>
        <v>6642.7683159999997</v>
      </c>
      <c r="C17" s="126">
        <f>Data!B5/1000000</f>
        <v>122068.80516800001</v>
      </c>
      <c r="D17" s="238">
        <f>Data!B8/1000000</f>
        <v>117776.175791</v>
      </c>
      <c r="E17" s="275">
        <f t="shared" ref="E17:E18" si="0">(C17-D17)/ABS(D17)</f>
        <v>3.6447348949566E-2</v>
      </c>
      <c r="F17" s="369">
        <v>117776</v>
      </c>
      <c r="G17" s="349">
        <v>82472</v>
      </c>
      <c r="H17" s="349">
        <v>91717</v>
      </c>
      <c r="I17" s="349">
        <v>85958</v>
      </c>
      <c r="J17" s="3"/>
      <c r="K17" s="164"/>
      <c r="L17" s="164"/>
    </row>
    <row r="18" spans="1:12" ht="12.75" customHeight="1" x14ac:dyDescent="0.25">
      <c r="A18" s="237" t="s">
        <v>109</v>
      </c>
      <c r="B18" s="126">
        <f>Data!C2/1000000</f>
        <v>406765.57355395774</v>
      </c>
      <c r="C18" s="126">
        <f>Data!C5/1000000</f>
        <v>5866720.9085636307</v>
      </c>
      <c r="D18" s="238">
        <f>Data!C8/1000000</f>
        <v>5791055.8197484594</v>
      </c>
      <c r="E18" s="275">
        <f t="shared" si="0"/>
        <v>1.3065853821878351E-2</v>
      </c>
      <c r="F18" s="369">
        <v>5791056</v>
      </c>
      <c r="G18" s="349">
        <v>5137534</v>
      </c>
      <c r="H18" s="349">
        <v>5537665</v>
      </c>
      <c r="I18" s="349">
        <v>5479433</v>
      </c>
      <c r="J18" s="3"/>
      <c r="K18" s="167"/>
      <c r="L18" s="164"/>
    </row>
    <row r="19" spans="1:12" ht="12.75" customHeight="1" x14ac:dyDescent="0.25">
      <c r="A19" s="237"/>
      <c r="B19" s="194"/>
      <c r="C19" s="126"/>
      <c r="D19" s="238"/>
      <c r="E19" s="237"/>
      <c r="F19" s="369"/>
      <c r="G19" s="349"/>
      <c r="H19" s="349"/>
      <c r="I19" s="349"/>
      <c r="J19" s="3"/>
      <c r="K19" s="164"/>
      <c r="L19" s="164"/>
    </row>
    <row r="20" spans="1:12" s="107" customFormat="1" ht="12.75" customHeight="1" x14ac:dyDescent="0.25">
      <c r="A20" s="277" t="s">
        <v>149</v>
      </c>
      <c r="B20" s="192"/>
      <c r="C20" s="192"/>
      <c r="D20" s="239"/>
      <c r="E20" s="237"/>
      <c r="F20" s="369"/>
      <c r="G20" s="349"/>
      <c r="H20" s="349"/>
      <c r="I20" s="349"/>
      <c r="J20" s="3"/>
      <c r="K20" s="164"/>
      <c r="L20" s="164"/>
    </row>
    <row r="21" spans="1:12" ht="12.75" customHeight="1" x14ac:dyDescent="0.25">
      <c r="A21" s="237" t="s">
        <v>107</v>
      </c>
      <c r="B21" s="126">
        <f>Data!F2</f>
        <v>1337</v>
      </c>
      <c r="C21" s="126">
        <f>Data!F5</f>
        <v>18154</v>
      </c>
      <c r="D21" s="238">
        <f>Data!F8</f>
        <v>16383</v>
      </c>
      <c r="E21" s="275">
        <f>(C21-D21)/ABS(D21)</f>
        <v>0.10809985961057193</v>
      </c>
      <c r="F21" s="369">
        <v>16383</v>
      </c>
      <c r="G21" s="349">
        <v>13577</v>
      </c>
      <c r="H21" s="349">
        <v>21951</v>
      </c>
      <c r="I21" s="349">
        <v>36150</v>
      </c>
      <c r="J21" s="3"/>
      <c r="K21" s="164"/>
      <c r="L21" s="164"/>
    </row>
    <row r="22" spans="1:12" ht="12.75" customHeight="1" x14ac:dyDescent="0.25">
      <c r="A22" s="237" t="s">
        <v>108</v>
      </c>
      <c r="B22" s="126">
        <f>Data!G2/1000000</f>
        <v>477.10495800000001</v>
      </c>
      <c r="C22" s="126">
        <f>Data!G5/1000000</f>
        <v>11395.620994000001</v>
      </c>
      <c r="D22" s="238">
        <f>Data!G8/1000000</f>
        <v>9320.3909609999992</v>
      </c>
      <c r="E22" s="275">
        <f t="shared" ref="E22:E23" si="1">(C22-D22)/ABS(D22)</f>
        <v>0.22265482657149685</v>
      </c>
      <c r="F22" s="369">
        <v>9320</v>
      </c>
      <c r="G22" s="349">
        <v>7535</v>
      </c>
      <c r="H22" s="349">
        <v>8350</v>
      </c>
      <c r="I22" s="349">
        <v>10343</v>
      </c>
      <c r="J22" s="3"/>
      <c r="K22" s="164"/>
      <c r="L22" s="164"/>
    </row>
    <row r="23" spans="1:12" ht="12.75" customHeight="1" thickBot="1" x14ac:dyDescent="0.3">
      <c r="A23" s="278" t="s">
        <v>109</v>
      </c>
      <c r="B23" s="127">
        <f>Data!H2/1000000</f>
        <v>26828.858226437784</v>
      </c>
      <c r="C23" s="127">
        <f>Data!H5/1000000</f>
        <v>520446.74529319111</v>
      </c>
      <c r="D23" s="279">
        <f>Data!H8/1000000</f>
        <v>336907.46625268809</v>
      </c>
      <c r="E23" s="280">
        <f t="shared" si="1"/>
        <v>0.54477652597596182</v>
      </c>
      <c r="F23" s="372">
        <v>336907</v>
      </c>
      <c r="G23" s="350">
        <v>237942</v>
      </c>
      <c r="H23" s="350">
        <v>328909</v>
      </c>
      <c r="I23" s="350">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Dec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47655.351115599995</v>
      </c>
      <c r="C29" s="238">
        <f>Data!O5/1000000</f>
        <v>976143.8989393299</v>
      </c>
      <c r="D29" s="238">
        <f>Data!O8/1000000</f>
        <v>941528.8268445601</v>
      </c>
      <c r="E29" s="186">
        <f>C29-D29</f>
        <v>34615.072094769799</v>
      </c>
      <c r="F29" s="366">
        <v>941529</v>
      </c>
      <c r="G29" s="346">
        <v>899391</v>
      </c>
      <c r="H29" s="346">
        <v>1074516</v>
      </c>
      <c r="I29" s="284">
        <v>992119</v>
      </c>
      <c r="J29" s="128"/>
    </row>
    <row r="30" spans="1:12" ht="12.75" customHeight="1" x14ac:dyDescent="0.25">
      <c r="A30" s="237" t="s">
        <v>11</v>
      </c>
      <c r="B30" s="238">
        <f>Data!P2/1000000</f>
        <v>-74143.891552289992</v>
      </c>
      <c r="C30" s="238">
        <f>Data!P5/1000000</f>
        <v>-1129242.93141024</v>
      </c>
      <c r="D30" s="238">
        <f>Data!P8/1000000</f>
        <v>-1067119.1803718901</v>
      </c>
      <c r="E30" s="186">
        <f>C30-D30</f>
        <v>-62123.751038349932</v>
      </c>
      <c r="F30" s="366">
        <v>-1067119</v>
      </c>
      <c r="G30" s="346">
        <v>-1013558</v>
      </c>
      <c r="H30" s="346">
        <v>-1127559</v>
      </c>
      <c r="I30" s="284">
        <v>-1039685</v>
      </c>
      <c r="J30" s="128"/>
    </row>
    <row r="31" spans="1:12" s="107" customFormat="1" ht="12.75" customHeight="1" thickBot="1" x14ac:dyDescent="0.3">
      <c r="A31" s="285" t="s">
        <v>12</v>
      </c>
      <c r="B31" s="286">
        <f>Data!Q2/1000000</f>
        <v>-26488.54043669</v>
      </c>
      <c r="C31" s="286">
        <f>Data!Q5/1000000</f>
        <v>-153099.03247091</v>
      </c>
      <c r="D31" s="286">
        <f>Data!Q8/1000000</f>
        <v>-125590.35352733001</v>
      </c>
      <c r="E31" s="287">
        <f>C31-D31</f>
        <v>-27508.678943579987</v>
      </c>
      <c r="F31" s="370">
        <v>-125590</v>
      </c>
      <c r="G31" s="351">
        <v>-114167</v>
      </c>
      <c r="H31" s="351">
        <v>-53042</v>
      </c>
      <c r="I31" s="351">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Dec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20574</v>
      </c>
      <c r="C38" s="276">
        <f>Data!CK6</f>
        <v>326302</v>
      </c>
      <c r="D38" s="276">
        <f>Data!CK11</f>
        <v>335248</v>
      </c>
      <c r="E38" s="275">
        <f t="shared" ref="E38:E40" si="2">IFERROR(IF(OR(AND(D38="",C38=""),AND(D38=0,C38=0)),"",
IF(OR(D38="",D38=0),1,
IF(OR(D38&lt;&gt;"",D38&lt;&gt;0),(C38-D38)/ABS(D38)))),-1)</f>
        <v>-2.6684722951367347E-2</v>
      </c>
      <c r="F38" s="369">
        <v>335248</v>
      </c>
      <c r="G38" s="349">
        <v>291499</v>
      </c>
      <c r="H38" s="349">
        <v>302385</v>
      </c>
      <c r="I38" s="349">
        <v>291730</v>
      </c>
      <c r="J38" s="29"/>
      <c r="K38" s="164"/>
      <c r="M38" s="19"/>
      <c r="N38" s="19"/>
    </row>
    <row r="39" spans="1:14" ht="12.75" customHeight="1" x14ac:dyDescent="0.25">
      <c r="A39" s="293" t="s">
        <v>134</v>
      </c>
      <c r="B39" s="276">
        <f>Data!CK2/1000000</f>
        <v>480287.156808</v>
      </c>
      <c r="C39" s="276">
        <f>Data!CK7/1000000</f>
        <v>9774042.297882</v>
      </c>
      <c r="D39" s="276">
        <f>Data!CK12/1000000</f>
        <v>10949626.327748001</v>
      </c>
      <c r="E39" s="275">
        <f t="shared" si="2"/>
        <v>-0.10736293592840641</v>
      </c>
      <c r="F39" s="369">
        <v>10949642</v>
      </c>
      <c r="G39" s="349">
        <v>9916268</v>
      </c>
      <c r="H39" s="349">
        <v>9185860</v>
      </c>
      <c r="I39" s="349">
        <v>7876304</v>
      </c>
      <c r="J39" s="27"/>
      <c r="K39" s="164"/>
    </row>
    <row r="40" spans="1:14" ht="12.75" customHeight="1" x14ac:dyDescent="0.25">
      <c r="A40" s="293" t="s">
        <v>135</v>
      </c>
      <c r="B40" s="276">
        <f>Data!CK3/1000000</f>
        <v>470684.75867678929</v>
      </c>
      <c r="C40" s="276">
        <f>Data!CK8/1000000</f>
        <v>9621385.3654539883</v>
      </c>
      <c r="D40" s="276">
        <f>Data!CK13/1000000</f>
        <v>10566905.185982101</v>
      </c>
      <c r="E40" s="275">
        <f t="shared" si="2"/>
        <v>-8.9479351227871803E-2</v>
      </c>
      <c r="F40" s="369">
        <v>10566924</v>
      </c>
      <c r="G40" s="349">
        <v>9975147</v>
      </c>
      <c r="H40" s="349">
        <v>9451509</v>
      </c>
      <c r="I40" s="349">
        <v>8198143</v>
      </c>
      <c r="J40" s="29"/>
      <c r="L40" s="169"/>
    </row>
    <row r="41" spans="1:14" ht="12.75" customHeight="1" x14ac:dyDescent="0.25">
      <c r="A41" s="293"/>
      <c r="B41" s="238"/>
      <c r="C41" s="294"/>
      <c r="D41" s="294"/>
      <c r="E41" s="175"/>
      <c r="F41" s="369"/>
      <c r="G41" s="349"/>
      <c r="H41" s="349"/>
      <c r="I41" s="349"/>
      <c r="M41" s="19"/>
      <c r="N41" s="19"/>
    </row>
    <row r="42" spans="1:14" s="107" customFormat="1" ht="12.75" customHeight="1" x14ac:dyDescent="0.25">
      <c r="A42" s="291" t="s">
        <v>136</v>
      </c>
      <c r="B42" s="276"/>
      <c r="C42" s="276"/>
      <c r="D42" s="276"/>
      <c r="E42" s="175"/>
      <c r="F42" s="369"/>
      <c r="G42" s="349"/>
      <c r="H42" s="349"/>
      <c r="I42" s="295"/>
      <c r="K42" s="165"/>
      <c r="L42" s="165"/>
      <c r="M42" s="16"/>
      <c r="N42" s="16"/>
    </row>
    <row r="43" spans="1:14" ht="12.75" customHeight="1" x14ac:dyDescent="0.25">
      <c r="A43" s="293" t="s">
        <v>107</v>
      </c>
      <c r="B43" s="276">
        <f>Data!CN1</f>
        <v>7855</v>
      </c>
      <c r="C43" s="276">
        <f>Data!CN6</f>
        <v>146637</v>
      </c>
      <c r="D43" s="276">
        <f>Data!CN11</f>
        <v>143565</v>
      </c>
      <c r="E43" s="275">
        <f t="shared" ref="E43:E45" si="3">IFERROR(IF(OR(AND(D43="",C43=""),AND(D43=0,C43=0)),"",
IF(OR(D43="",D43=0),1,
IF(OR(D43&lt;&gt;"",D43&lt;&gt;0),(C43-D43)/ABS(D43)))),-1)</f>
        <v>2.1397973043569114E-2</v>
      </c>
      <c r="F43" s="369">
        <v>143567</v>
      </c>
      <c r="G43" s="349">
        <v>177104</v>
      </c>
      <c r="H43" s="349">
        <v>161055</v>
      </c>
      <c r="I43" s="349">
        <v>153015</v>
      </c>
      <c r="J43" s="27"/>
      <c r="L43" s="165"/>
      <c r="M43" s="19"/>
      <c r="N43" s="19"/>
    </row>
    <row r="44" spans="1:14" ht="12.75" customHeight="1" x14ac:dyDescent="0.25">
      <c r="A44" s="293" t="s">
        <v>137</v>
      </c>
      <c r="B44" s="276">
        <f>Data!CN2/1000000</f>
        <v>1732865.904231</v>
      </c>
      <c r="C44" s="276">
        <f>Data!CN7/1000000</f>
        <v>24786515.972451001</v>
      </c>
      <c r="D44" s="276">
        <f>Data!CN12/1000000</f>
        <v>21498050.330509</v>
      </c>
      <c r="E44" s="275">
        <f t="shared" si="3"/>
        <v>0.15296576161025957</v>
      </c>
      <c r="F44" s="369">
        <v>21499151</v>
      </c>
      <c r="G44" s="349">
        <v>25798546</v>
      </c>
      <c r="H44" s="349">
        <v>20951365</v>
      </c>
      <c r="I44" s="349">
        <v>19085335</v>
      </c>
      <c r="J44" s="29"/>
      <c r="L44" s="165"/>
    </row>
    <row r="45" spans="1:14" ht="12.75" customHeight="1" x14ac:dyDescent="0.25">
      <c r="A45" s="293" t="s">
        <v>135</v>
      </c>
      <c r="B45" s="276">
        <f>Data!CN3/1000000</f>
        <v>1762166.366198329</v>
      </c>
      <c r="C45" s="276">
        <f>Data!CN8/1000000</f>
        <v>24122266.095104467</v>
      </c>
      <c r="D45" s="276">
        <f>Data!CN13/1000000</f>
        <v>20831651.96312122</v>
      </c>
      <c r="E45" s="275">
        <f t="shared" si="3"/>
        <v>0.15796222679836916</v>
      </c>
      <c r="F45" s="369">
        <v>20832617</v>
      </c>
      <c r="G45" s="349">
        <v>25522755</v>
      </c>
      <c r="H45" s="349">
        <v>20334924</v>
      </c>
      <c r="I45" s="349">
        <v>18571364</v>
      </c>
      <c r="J45" s="29"/>
      <c r="L45" s="165"/>
    </row>
    <row r="46" spans="1:14" ht="12.75" customHeight="1" x14ac:dyDescent="0.25">
      <c r="A46" s="293"/>
      <c r="B46" s="238"/>
      <c r="C46" s="294"/>
      <c r="D46" s="294"/>
      <c r="E46" s="175"/>
      <c r="F46" s="369"/>
      <c r="G46" s="349"/>
      <c r="H46" s="349"/>
      <c r="I46" s="349"/>
      <c r="L46" s="165"/>
    </row>
    <row r="47" spans="1:14" ht="12.75" customHeight="1" x14ac:dyDescent="0.25">
      <c r="A47" s="296" t="s">
        <v>143</v>
      </c>
      <c r="B47" s="238"/>
      <c r="C47" s="294"/>
      <c r="D47" s="294"/>
      <c r="E47" s="175"/>
      <c r="F47" s="369"/>
      <c r="G47" s="349"/>
      <c r="H47" s="349"/>
      <c r="I47" s="349"/>
      <c r="J47" s="27"/>
      <c r="L47" s="165"/>
    </row>
    <row r="48" spans="1:14" s="107" customFormat="1" ht="12.75" customHeight="1" x14ac:dyDescent="0.25">
      <c r="A48" s="293" t="s">
        <v>107</v>
      </c>
      <c r="B48" s="126">
        <f>Data!CQ1</f>
        <v>671</v>
      </c>
      <c r="C48" s="126">
        <f>Data!CQ6</f>
        <v>8564</v>
      </c>
      <c r="D48" s="238">
        <f>Data!CQ11</f>
        <v>10968</v>
      </c>
      <c r="E48" s="275">
        <f t="shared" ref="E48:E50" si="4">IFERROR(IF(OR(AND(D48="",C48=""),AND(D48=0,C48=0)),"",
IF(OR(D48="",D48=0),1,
IF(OR(D48&lt;&gt;"",D48&lt;&gt;0),(C48-D48)/ABS(D48)))),-1)</f>
        <v>-0.21918307804522247</v>
      </c>
      <c r="F48" s="369">
        <v>10968</v>
      </c>
      <c r="G48" s="349">
        <v>9100</v>
      </c>
      <c r="H48" s="349">
        <v>8603</v>
      </c>
      <c r="I48" s="349">
        <v>8729</v>
      </c>
      <c r="J48" s="27"/>
      <c r="K48" s="165"/>
      <c r="L48" s="169"/>
    </row>
    <row r="49" spans="1:12" s="107" customFormat="1" ht="12.75" customHeight="1" x14ac:dyDescent="0.25">
      <c r="A49" s="293" t="s">
        <v>137</v>
      </c>
      <c r="B49" s="126">
        <f>Data!CQ2/1000000</f>
        <v>54816.580398999999</v>
      </c>
      <c r="C49" s="126">
        <f>Data!CQ7/1000000</f>
        <v>742690.07451199996</v>
      </c>
      <c r="D49" s="238">
        <f>Data!CQ12/1000000</f>
        <v>967583.858534</v>
      </c>
      <c r="E49" s="275">
        <f t="shared" si="4"/>
        <v>-0.23242820974994333</v>
      </c>
      <c r="F49" s="369">
        <v>967584</v>
      </c>
      <c r="G49" s="349">
        <v>717436</v>
      </c>
      <c r="H49" s="349">
        <v>658610</v>
      </c>
      <c r="I49" s="349">
        <v>737277</v>
      </c>
      <c r="J49" s="32"/>
      <c r="K49" s="165"/>
      <c r="L49" s="169"/>
    </row>
    <row r="50" spans="1:12" s="107" customFormat="1" ht="12.75" customHeight="1" thickBot="1" x14ac:dyDescent="0.3">
      <c r="A50" s="297" t="s">
        <v>135</v>
      </c>
      <c r="B50" s="127">
        <f>Data!CQ3/1000000</f>
        <v>14690.167103869999</v>
      </c>
      <c r="C50" s="127">
        <f>Data!CQ8/1000000</f>
        <v>250344.82597241004</v>
      </c>
      <c r="D50" s="279">
        <f>Data!CQ13/1000000</f>
        <v>343928.30468170019</v>
      </c>
      <c r="E50" s="280">
        <f t="shared" si="4"/>
        <v>-0.27210170676676371</v>
      </c>
      <c r="F50" s="372">
        <v>343928</v>
      </c>
      <c r="G50" s="350">
        <v>223466</v>
      </c>
      <c r="H50" s="350">
        <v>206820</v>
      </c>
      <c r="I50" s="350">
        <v>305414</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Dec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3" t="s">
        <v>140</v>
      </c>
      <c r="B57" s="276">
        <f>(SUMIFS(Data!$CZ$14:$CZ$25,Data!$CU$14:$CU$25,"Standard Trade")+SUMIFS(Data!$CZ$14:$CZ$25,Data!$CU$14:$CU$25,"Standard Trade (Spot)"))/1000000</f>
        <v>51885.219808000002</v>
      </c>
      <c r="C57" s="276">
        <f>(SUMIFS(Data!$CZ$1:$CZ$12,Data!$CU$1:$CU$12,"Standard Trade")+SUMIFS(Data!$CZ$1:$CZ$12,Data!$CU$1:$CU$12,"Standard Trade (Spot)"))/1000000</f>
        <v>1085162.9599520001</v>
      </c>
      <c r="D57" s="276">
        <f>(SUMIFS(Data!$CZ$27:$CZ$38,Data!$CU$27:$CU$38,"Standard Trade")+SUMIFS(Data!$CZ$27:$CZ$38,Data!$CU$27:$CU$38,"Standard Trade (Spot)"))/1000000</f>
        <v>1358203.4219579999</v>
      </c>
      <c r="E57" s="186">
        <f>C57-D57</f>
        <v>-273040.46200599987</v>
      </c>
      <c r="F57" s="369">
        <v>1358203</v>
      </c>
      <c r="G57" s="349">
        <v>1367130</v>
      </c>
      <c r="H57" s="349">
        <v>1118355</v>
      </c>
      <c r="I57" s="294">
        <v>1072127</v>
      </c>
      <c r="J57" s="27"/>
      <c r="L57" s="169"/>
    </row>
    <row r="58" spans="1:12" ht="12.75" customHeight="1" x14ac:dyDescent="0.25">
      <c r="A58" s="293" t="s">
        <v>141</v>
      </c>
      <c r="B58" s="276">
        <f>(SUMIFS(Data!$DC$14:$DC$25,Data!$CU$14:$CU$25,"Standard Trade")+SUMIFS(Data!$DC$14:$DC$25,Data!$CU$14:$CU$25,"Standard Trade (Spot)"))/1000000</f>
        <v>52935.424311000002</v>
      </c>
      <c r="C58" s="276">
        <f>(SUMIFS(Data!$DC$1:$DC$12,Data!$CU$1:$CU$12,"Standard Trade")+SUMIFS(Data!$DC$1:$DC$12,Data!$CU$1:$CU$12,"Standard Trade (Spot)"))/1000000</f>
        <v>1245133.175853</v>
      </c>
      <c r="D58" s="276">
        <f>(SUMIFS(Data!$DC$27:$DC$38,Data!$CU$27:$CU$38,"Standard Trade")+SUMIFS(Data!$DC$27:$DC$38,Data!$CU$27:$CU$38,"Standard Trade (Spot)"))/1000000</f>
        <v>1406555.320059</v>
      </c>
      <c r="E58" s="186">
        <f>C58-D58</f>
        <v>-161422.14420600003</v>
      </c>
      <c r="F58" s="369">
        <v>1406571</v>
      </c>
      <c r="G58" s="349">
        <v>1389324</v>
      </c>
      <c r="H58" s="349">
        <v>1183484</v>
      </c>
      <c r="I58" s="294">
        <v>1016544</v>
      </c>
      <c r="J58" s="27"/>
      <c r="L58" s="169"/>
    </row>
    <row r="59" spans="1:12" ht="12.75" customHeight="1" thickBot="1" x14ac:dyDescent="0.3">
      <c r="A59" s="299" t="s">
        <v>12</v>
      </c>
      <c r="B59" s="286">
        <f>B57-B58</f>
        <v>-1050.2045030000008</v>
      </c>
      <c r="C59" s="286">
        <f t="shared" ref="C59" si="5">C57-C58</f>
        <v>-159970.21590099996</v>
      </c>
      <c r="D59" s="286">
        <f>D57-D58</f>
        <v>-48351.898101000115</v>
      </c>
      <c r="E59" s="286">
        <f>E57-E58</f>
        <v>-111618.31779999984</v>
      </c>
      <c r="F59" s="370">
        <v>-48367</v>
      </c>
      <c r="G59" s="351">
        <v>-22194</v>
      </c>
      <c r="H59" s="351">
        <v>-65129</v>
      </c>
      <c r="I59" s="351">
        <v>55583</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Dec 2021</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Dec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107</v>
      </c>
      <c r="B68" s="126">
        <f>Data!BR20</f>
        <v>301</v>
      </c>
      <c r="C68" s="238">
        <f>Data!BR32</f>
        <v>11900</v>
      </c>
      <c r="D68" s="238">
        <f>Data!BR38</f>
        <v>14968</v>
      </c>
      <c r="E68" s="275">
        <f t="shared" ref="E68:E71" si="6">IFERROR(IF(OR(AND(D68="",C68=""),AND(D68=0,C68=0)),"",
IF(OR(D68="",D68=0),1,
IF(OR(D68&lt;&gt;"",D68&lt;&gt;0),(C68-D68)/ABS(D68)))),-1)</f>
        <v>-0.20497060395510422</v>
      </c>
      <c r="F68" s="366">
        <v>14968</v>
      </c>
      <c r="G68" s="346">
        <v>12780</v>
      </c>
      <c r="H68" s="346">
        <v>12477</v>
      </c>
      <c r="I68" s="346">
        <v>12791</v>
      </c>
    </row>
    <row r="69" spans="1:9" ht="13.8" x14ac:dyDescent="0.25">
      <c r="A69" s="237" t="s">
        <v>130</v>
      </c>
      <c r="B69" s="126">
        <f>Data!BQ20</f>
        <v>123781</v>
      </c>
      <c r="C69" s="238">
        <f>Data!BQ32</f>
        <v>12028332</v>
      </c>
      <c r="D69" s="238">
        <f>Data!BQ38</f>
        <v>12515509</v>
      </c>
      <c r="E69" s="275">
        <f t="shared" si="6"/>
        <v>-3.892586390213934E-2</v>
      </c>
      <c r="F69" s="366">
        <v>12515509</v>
      </c>
      <c r="G69" s="346">
        <v>10461871</v>
      </c>
      <c r="H69" s="346">
        <v>11788350</v>
      </c>
      <c r="I69" s="346">
        <v>11946344</v>
      </c>
    </row>
    <row r="70" spans="1:9" ht="13.8" x14ac:dyDescent="0.25">
      <c r="A70" s="237" t="s">
        <v>109</v>
      </c>
      <c r="B70" s="126">
        <f>Data!BP20/1000000</f>
        <v>11676.768867749999</v>
      </c>
      <c r="C70" s="238">
        <f>Data!BP32/1000000</f>
        <v>1205728.2721078401</v>
      </c>
      <c r="D70" s="238">
        <f>Data!BP38/1000000</f>
        <v>1264935.3623366698</v>
      </c>
      <c r="E70" s="275">
        <f t="shared" si="6"/>
        <v>-4.6806415562182263E-2</v>
      </c>
      <c r="F70" s="366">
        <v>1264935</v>
      </c>
      <c r="G70" s="346">
        <v>1158376</v>
      </c>
      <c r="H70" s="346">
        <v>1282927</v>
      </c>
      <c r="I70" s="346">
        <v>1329270</v>
      </c>
    </row>
    <row r="71" spans="1:9" ht="13.8" x14ac:dyDescent="0.25">
      <c r="A71" s="237" t="s">
        <v>129</v>
      </c>
      <c r="B71" s="126">
        <f>Data!BP26</f>
        <v>1071034</v>
      </c>
      <c r="C71" s="238">
        <f>B71</f>
        <v>1071034</v>
      </c>
      <c r="D71" s="238">
        <f>Data!BP44</f>
        <v>969112</v>
      </c>
      <c r="E71" s="275">
        <f t="shared" si="6"/>
        <v>0.10517050660811135</v>
      </c>
      <c r="F71" s="366">
        <v>969112</v>
      </c>
      <c r="G71" s="346">
        <v>947574</v>
      </c>
      <c r="H71" s="346">
        <v>829599</v>
      </c>
      <c r="I71" s="346">
        <v>1021723</v>
      </c>
    </row>
    <row r="72" spans="1:9" ht="13.8" x14ac:dyDescent="0.25">
      <c r="A72" s="237"/>
      <c r="B72" s="126"/>
      <c r="C72" s="238"/>
      <c r="D72" s="238"/>
      <c r="E72" s="237"/>
      <c r="F72" s="366"/>
      <c r="G72" s="346"/>
      <c r="H72" s="346"/>
      <c r="I72" s="346"/>
    </row>
    <row r="73" spans="1:9" ht="13.8" x14ac:dyDescent="0.25">
      <c r="A73" s="277" t="s">
        <v>15</v>
      </c>
      <c r="B73" s="126"/>
      <c r="C73" s="238"/>
      <c r="D73" s="238"/>
      <c r="E73" s="237"/>
      <c r="F73" s="366"/>
      <c r="G73" s="346"/>
      <c r="H73" s="346"/>
      <c r="I73" s="346"/>
    </row>
    <row r="74" spans="1:9" ht="13.8" x14ac:dyDescent="0.25">
      <c r="A74" s="237" t="s">
        <v>107</v>
      </c>
      <c r="B74" s="126">
        <f>Data!BR23</f>
        <v>2</v>
      </c>
      <c r="C74" s="126">
        <f>Data!BR35</f>
        <v>1134</v>
      </c>
      <c r="D74" s="126">
        <f>Data!BR41</f>
        <v>1774</v>
      </c>
      <c r="E74" s="275">
        <f t="shared" ref="E74:E77" si="7">IFERROR(IF(OR(AND(D74="",C74=""),AND(D74=0,C74=0)),"",
IF(OR(D74="",D74=0),1,
IF(OR(D74&lt;&gt;"",D74&lt;&gt;0),(C74-D74)/ABS(D74)))),-1)</f>
        <v>-0.36076662908680945</v>
      </c>
      <c r="F74" s="126">
        <v>1774</v>
      </c>
      <c r="G74" s="126">
        <v>1550</v>
      </c>
      <c r="H74" s="126">
        <v>949</v>
      </c>
      <c r="I74" s="126">
        <v>809</v>
      </c>
    </row>
    <row r="75" spans="1:9" ht="13.8" x14ac:dyDescent="0.25">
      <c r="A75" s="237" t="s">
        <v>130</v>
      </c>
      <c r="B75" s="126">
        <f>Data!BQ23</f>
        <v>2100</v>
      </c>
      <c r="C75" s="126">
        <f>Data!BQ35</f>
        <v>604424</v>
      </c>
      <c r="D75" s="126">
        <f>Data!BQ41</f>
        <v>803665</v>
      </c>
      <c r="E75" s="275">
        <f t="shared" si="7"/>
        <v>-0.24791548717438236</v>
      </c>
      <c r="F75" s="126">
        <v>803665</v>
      </c>
      <c r="G75" s="126">
        <v>961911</v>
      </c>
      <c r="H75" s="126">
        <v>428713</v>
      </c>
      <c r="I75" s="126">
        <v>307322</v>
      </c>
    </row>
    <row r="76" spans="1:9" ht="13.8" x14ac:dyDescent="0.25">
      <c r="A76" s="237" t="s">
        <v>173</v>
      </c>
      <c r="B76" s="126">
        <f>Data!BP23/1000000</f>
        <v>1.5946499999999999</v>
      </c>
      <c r="C76" s="126">
        <f>Data!BP35/1000000</f>
        <v>992.52255833000004</v>
      </c>
      <c r="D76" s="126">
        <f>Data!BP41/1000000</f>
        <v>1573.78860869</v>
      </c>
      <c r="E76" s="275">
        <f t="shared" si="7"/>
        <v>-0.36934188438677151</v>
      </c>
      <c r="F76" s="126">
        <v>1574</v>
      </c>
      <c r="G76" s="126">
        <v>93866</v>
      </c>
      <c r="H76" s="126">
        <v>42643</v>
      </c>
      <c r="I76" s="126">
        <v>29060</v>
      </c>
    </row>
    <row r="77" spans="1:9" ht="14.4" thickBot="1" x14ac:dyDescent="0.3">
      <c r="A77" s="278" t="s">
        <v>129</v>
      </c>
      <c r="B77" s="127">
        <f>Data!BP29</f>
        <v>126584</v>
      </c>
      <c r="C77" s="127">
        <f>B77</f>
        <v>126584</v>
      </c>
      <c r="D77" s="127">
        <f>Data!BP47</f>
        <v>155447</v>
      </c>
      <c r="E77" s="280">
        <f t="shared" si="7"/>
        <v>-0.18567743346606883</v>
      </c>
      <c r="F77" s="127">
        <v>155447</v>
      </c>
      <c r="G77" s="127">
        <v>275198</v>
      </c>
      <c r="H77" s="127">
        <v>140000</v>
      </c>
      <c r="I77" s="127">
        <v>97761</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Dec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2"/>
      <c r="C85" s="302"/>
      <c r="D85" s="302"/>
      <c r="E85" s="300"/>
      <c r="F85" s="300"/>
      <c r="G85" s="303"/>
      <c r="H85" s="303"/>
      <c r="I85" s="303"/>
    </row>
    <row r="86" spans="1:9" ht="13.8" x14ac:dyDescent="0.25">
      <c r="A86" s="237" t="s">
        <v>107</v>
      </c>
      <c r="B86" s="238">
        <f>SUMIFS(Data!$AC:$AC,Data!$AE:$AE,"1")</f>
        <v>27562</v>
      </c>
      <c r="C86" s="238">
        <f>Data!BR76</f>
        <v>456788</v>
      </c>
      <c r="D86" s="238">
        <f>Data!BR82</f>
        <v>479225</v>
      </c>
      <c r="E86" s="275">
        <f>IFERROR(IF(OR(AND(D86="",C86=""),AND(D86=0,C86=0)),"",
IF(OR(D86="",D86=0),1,
IF(OR(D86&lt;&gt;"",D86&lt;&gt;0),(C86-D86)/ABS(D86)))),-1)</f>
        <v>-4.6819343732067399E-2</v>
      </c>
      <c r="F86" s="366">
        <v>479225</v>
      </c>
      <c r="G86" s="346">
        <v>436351</v>
      </c>
      <c r="H86" s="346">
        <v>401483</v>
      </c>
      <c r="I86" s="346">
        <v>345698</v>
      </c>
    </row>
    <row r="87" spans="1:9" ht="13.8" x14ac:dyDescent="0.25">
      <c r="A87" s="237" t="s">
        <v>128</v>
      </c>
      <c r="B87" s="238">
        <f>SUMIFS(Data!$AB:$AB,Data!$AE:$AE,"1")/1000</f>
        <v>218.429</v>
      </c>
      <c r="C87" s="238">
        <f>Data!BQ76</f>
        <v>3313674</v>
      </c>
      <c r="D87" s="238">
        <f>Data!BQ82</f>
        <v>3219382</v>
      </c>
      <c r="E87" s="275">
        <f t="shared" ref="E87:E89" si="8">IFERROR(IF(OR(AND(D87="",C87=""),AND(D87=0,C87=0)),"",
IF(OR(D87="",D87=0),1,
IF(OR(D87&lt;&gt;"",D87&lt;&gt;0),(C87-D87)/ABS(D87)))),-1)</f>
        <v>2.9288851090053931E-2</v>
      </c>
      <c r="F87" s="366">
        <v>3219382</v>
      </c>
      <c r="G87" s="346">
        <v>3206466</v>
      </c>
      <c r="H87" s="346">
        <v>3080836</v>
      </c>
      <c r="I87" s="346">
        <v>2718</v>
      </c>
    </row>
    <row r="88" spans="1:9" ht="13.8" x14ac:dyDescent="0.25">
      <c r="A88" s="237" t="s">
        <v>109</v>
      </c>
      <c r="B88" s="238">
        <f>SUMIFS(Data!$AA:$AA,Data!$AE:$AE,"1")/1000000</f>
        <v>76870.867091067994</v>
      </c>
      <c r="C88" s="238">
        <f>Data!BP76/1000000</f>
        <v>1103552.2148642605</v>
      </c>
      <c r="D88" s="238">
        <f>Data!BP82/1000000</f>
        <v>912482.136313556</v>
      </c>
      <c r="E88" s="275">
        <f t="shared" si="8"/>
        <v>0.20939596617488976</v>
      </c>
      <c r="F88" s="366">
        <v>912482</v>
      </c>
      <c r="G88" s="346">
        <v>805011</v>
      </c>
      <c r="H88" s="346">
        <v>674379</v>
      </c>
      <c r="I88" s="346">
        <v>566037</v>
      </c>
    </row>
    <row r="89" spans="1:9" ht="13.8" x14ac:dyDescent="0.25">
      <c r="A89" s="237" t="s">
        <v>129</v>
      </c>
      <c r="B89" s="238">
        <f>SUMIFS(Data!$AK:$AK,Data!$AL:$AL,"1")</f>
        <v>126020</v>
      </c>
      <c r="C89" s="238">
        <f>B89</f>
        <v>126020</v>
      </c>
      <c r="D89" s="238">
        <f>Data!BP88</f>
        <v>125413</v>
      </c>
      <c r="E89" s="275">
        <f t="shared" si="8"/>
        <v>4.840008611547447E-3</v>
      </c>
      <c r="F89" s="366">
        <v>125413</v>
      </c>
      <c r="G89" s="346">
        <v>114681</v>
      </c>
      <c r="H89" s="346">
        <v>111034</v>
      </c>
      <c r="I89" s="346">
        <v>117783</v>
      </c>
    </row>
    <row r="90" spans="1:9" ht="13.8" x14ac:dyDescent="0.25">
      <c r="A90" s="237"/>
      <c r="B90" s="238"/>
      <c r="C90" s="238"/>
      <c r="D90" s="238"/>
      <c r="E90" s="237"/>
      <c r="F90" s="366"/>
      <c r="G90" s="346"/>
      <c r="H90" s="346"/>
      <c r="I90" s="346"/>
    </row>
    <row r="91" spans="1:9" ht="13.8" x14ac:dyDescent="0.25">
      <c r="A91" s="277" t="s">
        <v>15</v>
      </c>
      <c r="B91" s="238"/>
      <c r="C91" s="238"/>
      <c r="D91" s="238"/>
      <c r="E91" s="237"/>
      <c r="F91" s="366"/>
      <c r="G91" s="346"/>
      <c r="H91" s="346"/>
      <c r="I91" s="346"/>
    </row>
    <row r="92" spans="1:9" ht="13.8" x14ac:dyDescent="0.25">
      <c r="A92" s="237" t="s">
        <v>107</v>
      </c>
      <c r="B92" s="238">
        <f>SUMIFS(Data!$AC:$AC,Data!$AE:$AE,"0")</f>
        <v>1035</v>
      </c>
      <c r="C92" s="238">
        <f>Data!BR79</f>
        <v>20475</v>
      </c>
      <c r="D92" s="238">
        <f>Data!BR85</f>
        <v>21151</v>
      </c>
      <c r="E92" s="275">
        <f>IFERROR(IF(OR(AND(D92="",C92=""),AND(D92=0,C92=0)),"",
IF(OR(D92="",D92=0),1,
IF(OR(D92&lt;&gt;"",D92&lt;&gt;0),(C92-D92)/ABS(D92)))),-1)</f>
        <v>-3.196066379840197E-2</v>
      </c>
      <c r="F92" s="366">
        <v>21151</v>
      </c>
      <c r="G92" s="346">
        <v>27189</v>
      </c>
      <c r="H92" s="346">
        <v>34033</v>
      </c>
      <c r="I92" s="346">
        <v>30024</v>
      </c>
    </row>
    <row r="93" spans="1:9" ht="13.8" x14ac:dyDescent="0.25">
      <c r="A93" s="237" t="s">
        <v>128</v>
      </c>
      <c r="B93" s="238">
        <f>SUMIFS(Data!$AB:$AB,Data!$AE:$AE,"0")/1000</f>
        <v>11.590999999999999</v>
      </c>
      <c r="C93" s="238">
        <f>Data!BQ79</f>
        <v>246067</v>
      </c>
      <c r="D93" s="238">
        <f>Data!BQ85</f>
        <v>276216</v>
      </c>
      <c r="E93" s="275">
        <f t="shared" ref="E93:E94" si="9">IFERROR(IF(OR(AND(D93="",C93=""),AND(D93=0,C93=0)),"",
IF(OR(D93="",D93=0),1,
IF(OR(D93&lt;&gt;"",D93&lt;&gt;0),(C93-D93)/ABS(D93)))),-1)</f>
        <v>-0.10915008544037999</v>
      </c>
      <c r="F93" s="366">
        <v>276216</v>
      </c>
      <c r="G93" s="346">
        <v>304220</v>
      </c>
      <c r="H93" s="346">
        <v>351110</v>
      </c>
      <c r="I93" s="346">
        <v>291</v>
      </c>
    </row>
    <row r="94" spans="1:9" ht="13.8" x14ac:dyDescent="0.25">
      <c r="A94" s="237" t="s">
        <v>109</v>
      </c>
      <c r="B94" s="238">
        <f>SUMIFS(Data!$AA:$AA,Data!$AE:$AE,"0")/1000000</f>
        <v>127.99635433</v>
      </c>
      <c r="C94" s="238">
        <f>Data!BP79/1000000</f>
        <v>4282.6191691799995</v>
      </c>
      <c r="D94" s="238">
        <f>Data!BP85/1000000</f>
        <v>2848.9408599399999</v>
      </c>
      <c r="E94" s="275">
        <f t="shared" si="9"/>
        <v>0.50323203594692856</v>
      </c>
      <c r="F94" s="366">
        <v>2849</v>
      </c>
      <c r="G94" s="346">
        <v>4720</v>
      </c>
      <c r="H94" s="346">
        <v>4094</v>
      </c>
      <c r="I94" s="346">
        <v>3233</v>
      </c>
    </row>
    <row r="95" spans="1:9" ht="13.8" x14ac:dyDescent="0.25">
      <c r="A95" s="237" t="s">
        <v>129</v>
      </c>
      <c r="B95" s="238">
        <f>SUMIFS(Data!$AK:$AK,Data!$AL:$AL,"0")</f>
        <v>26240</v>
      </c>
      <c r="C95" s="238">
        <f>B95</f>
        <v>26240</v>
      </c>
      <c r="D95" s="238">
        <f>Data!BP91</f>
        <v>48256</v>
      </c>
      <c r="E95" s="275">
        <f>IFERROR(IF(OR(AND(D95="",C95=""),AND(D95=0,C95=0)),"",
IF(OR(D95="",D95=0),1,
IF(OR(D95&lt;&gt;"",D95&lt;&gt;0),(C95-D95)/ABS(D95)))),-1)</f>
        <v>-0.45623342175066312</v>
      </c>
      <c r="F95" s="366">
        <v>48256</v>
      </c>
      <c r="G95" s="346">
        <v>43126</v>
      </c>
      <c r="H95" s="346">
        <v>71176</v>
      </c>
      <c r="I95" s="346">
        <v>50578</v>
      </c>
    </row>
    <row r="96" spans="1:9" ht="12.75" customHeight="1" x14ac:dyDescent="0.25">
      <c r="B96" s="3"/>
      <c r="F96" s="377" t="s">
        <v>177</v>
      </c>
      <c r="G96" s="377"/>
      <c r="H96" s="377"/>
      <c r="I96" s="124"/>
    </row>
    <row r="97" spans="1:10" ht="12.75" customHeight="1" x14ac:dyDescent="0.25">
      <c r="B97" s="3"/>
      <c r="F97" s="377"/>
      <c r="G97" s="377"/>
      <c r="H97" s="377"/>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Dec 2021</v>
      </c>
      <c r="C100" s="271" t="str">
        <f>TEXT(DATE(2000,TEXT(H3,"M")-1,1),"mmm")&amp; " "&amp; TEXT(H3,"YYYY")</f>
        <v>Nov 2021</v>
      </c>
      <c r="D100" s="273" t="s">
        <v>111</v>
      </c>
      <c r="E100" s="271"/>
      <c r="F100" s="271"/>
      <c r="G100" s="271" t="str">
        <f>TEXT($H$3,"MMM")&amp;" "&amp;TEXT($H$3,"YYYY")</f>
        <v>Dec 2021</v>
      </c>
      <c r="H100" s="271" t="str">
        <f>TEXT($H$3,"MMM")&amp;" "&amp;TEXT($H$3,"YYYY")-1</f>
        <v>Dec 2020</v>
      </c>
      <c r="I100" s="273" t="s">
        <v>111</v>
      </c>
      <c r="J100" s="155"/>
    </row>
    <row r="101" spans="1:10" ht="13.8" x14ac:dyDescent="0.25">
      <c r="A101" s="237" t="s">
        <v>112</v>
      </c>
      <c r="B101" s="307">
        <f>VLOOKUP("ABuy",Data!$J$1:$M$5,4,FALSE)/1000000</f>
        <v>185286.05036126936</v>
      </c>
      <c r="C101" s="307">
        <f>VLOOKUP("ABuy",Data!$J$7:$M$11,4,FALSE)/1000000</f>
        <v>210156.37779833531</v>
      </c>
      <c r="D101" s="177">
        <f>((B101/C101)-1)</f>
        <v>-0.11834200654586535</v>
      </c>
      <c r="E101" s="307"/>
      <c r="F101" s="307"/>
      <c r="G101" s="307">
        <f>VLOOKUP("Abuy",Data!$J$13:$M$17,4,FALSE)/1000000</f>
        <v>170058.64175979502</v>
      </c>
      <c r="H101" s="307">
        <f>VLOOKUP("Abuy",Data!$J$19:$M$23,4,FALSE)/1000000</f>
        <v>183129.61956135</v>
      </c>
      <c r="I101" s="191">
        <f>((G101/H101)-1)</f>
        <v>-7.1375552643334617E-2</v>
      </c>
      <c r="J101" s="155"/>
    </row>
    <row r="102" spans="1:10" ht="13.8" x14ac:dyDescent="0.25">
      <c r="A102" s="237" t="s">
        <v>113</v>
      </c>
      <c r="B102" s="307">
        <f>VLOOKUP("ASell",Data!$J$1:$M$5,4,FALSE)/1000000</f>
        <v>184121.675637081</v>
      </c>
      <c r="C102" s="307">
        <f>VLOOKUP("Asell",Data!$J$7:$M$11,4,FALSE)/1000000</f>
        <v>210897.47303114235</v>
      </c>
      <c r="D102" s="191">
        <f t="shared" ref="D102:D104" si="10">((B102/C102)-1)</f>
        <v>-0.12696120541049571</v>
      </c>
      <c r="E102" s="307"/>
      <c r="F102" s="307"/>
      <c r="G102" s="307">
        <f>VLOOKUP("Asell",Data!$J$13:$M$17,4,FALSE)/1000000</f>
        <v>168773.50085159499</v>
      </c>
      <c r="H102" s="307">
        <f>VLOOKUP("Asell",Data!$J$19:$M$23,4,FALSE)/1000000</f>
        <v>183434.16531088998</v>
      </c>
      <c r="I102" s="191">
        <f t="shared" ref="I102:I104" si="11">((G102/H102)-1)</f>
        <v>-7.9923303461204354E-2</v>
      </c>
      <c r="J102" s="155"/>
    </row>
    <row r="103" spans="1:10" ht="13.8" x14ac:dyDescent="0.25">
      <c r="A103" s="237" t="s">
        <v>114</v>
      </c>
      <c r="B103" s="307">
        <f>VLOOKUP("PBuy",Data!$J$1:$M$5,4,FALSE)/1000000</f>
        <v>221479.52319268844</v>
      </c>
      <c r="C103" s="307">
        <f>VLOOKUP("Pbuy",Data!$J$7:$M$11,4,FALSE)/1000000</f>
        <v>241185.09559605116</v>
      </c>
      <c r="D103" s="191">
        <f t="shared" si="10"/>
        <v>-8.1703110031171255E-2</v>
      </c>
      <c r="E103" s="307"/>
      <c r="F103" s="307"/>
      <c r="G103" s="307">
        <f>VLOOKUP("Pbuy",Data!$J$13:$M$17,4,FALSE)/1000000</f>
        <v>209878.07356772502</v>
      </c>
      <c r="H103" s="307">
        <f>VLOOKUP("Pbuy",Data!$J$19:$M$23,4,FALSE)/1000000</f>
        <v>226544.37463920499</v>
      </c>
      <c r="I103" s="191">
        <f t="shared" si="11"/>
        <v>-7.356749024566489E-2</v>
      </c>
      <c r="J103" s="155"/>
    </row>
    <row r="104" spans="1:10" ht="13.8" x14ac:dyDescent="0.25">
      <c r="A104" s="237" t="s">
        <v>115</v>
      </c>
      <c r="B104" s="307">
        <f>VLOOKUP("PSell",Data!$J$1:$M$5,4,FALSE)/1000000</f>
        <v>222643.8979168768</v>
      </c>
      <c r="C104" s="307">
        <f>VLOOKUP("Psell",Data!$J$7:$M$11,4,FALSE)/1000000</f>
        <v>240444.00036324415</v>
      </c>
      <c r="D104" s="191">
        <f t="shared" si="10"/>
        <v>-7.4030137659814033E-2</v>
      </c>
      <c r="E104" s="307"/>
      <c r="F104" s="307"/>
      <c r="G104" s="307">
        <f>VLOOKUP("Psell",Data!$J$13:$M$17,4,FALSE)/1000000</f>
        <v>211163.21447592499</v>
      </c>
      <c r="H104" s="307">
        <f>VLOOKUP("Psell",Data!$J$19:$M$23,4,FALSE)/1000000</f>
        <v>226239.82888966499</v>
      </c>
      <c r="I104" s="191">
        <f t="shared" si="11"/>
        <v>-6.6639965596388073E-2</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82"/>
      <c r="E107" s="382"/>
      <c r="F107" s="273"/>
      <c r="G107" s="378" t="s">
        <v>118</v>
      </c>
      <c r="H107" s="378"/>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67">
        <v>920270</v>
      </c>
      <c r="C109" s="354">
        <v>44425</v>
      </c>
      <c r="D109" s="381"/>
      <c r="E109" s="381"/>
      <c r="F109" s="319"/>
      <c r="G109" s="381">
        <v>13110584</v>
      </c>
      <c r="H109" s="381"/>
      <c r="I109" s="189" t="s">
        <v>722</v>
      </c>
    </row>
    <row r="110" spans="1:10" ht="13.8" x14ac:dyDescent="0.25">
      <c r="A110" s="237" t="s">
        <v>490</v>
      </c>
      <c r="B110" s="367">
        <v>1762606</v>
      </c>
      <c r="C110" s="354">
        <v>43439</v>
      </c>
      <c r="D110" s="381"/>
      <c r="E110" s="381"/>
      <c r="F110" s="319"/>
      <c r="G110" s="381">
        <v>14192736</v>
      </c>
      <c r="H110" s="381"/>
      <c r="I110" s="195" t="s">
        <v>722</v>
      </c>
    </row>
    <row r="111" spans="1:10" ht="13.8" x14ac:dyDescent="0.25">
      <c r="A111" s="237" t="s">
        <v>489</v>
      </c>
      <c r="B111" s="367">
        <v>155410</v>
      </c>
      <c r="C111" s="354">
        <v>44425</v>
      </c>
      <c r="D111" s="381"/>
      <c r="E111" s="381"/>
      <c r="F111" s="319"/>
      <c r="G111" s="381">
        <v>774899</v>
      </c>
      <c r="H111" s="381"/>
      <c r="I111" s="195" t="s">
        <v>722</v>
      </c>
    </row>
    <row r="112" spans="1:10" ht="13.8" x14ac:dyDescent="0.25">
      <c r="A112" s="237" t="s">
        <v>465</v>
      </c>
      <c r="B112" s="190">
        <v>20025</v>
      </c>
      <c r="C112" s="354">
        <v>44516</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Dec 2021</v>
      </c>
      <c r="G122" s="124"/>
      <c r="H122" s="124"/>
    </row>
    <row r="123" spans="1:11" ht="12.75" customHeight="1" x14ac:dyDescent="0.25">
      <c r="F123" s="377" t="s">
        <v>177</v>
      </c>
      <c r="G123" s="377"/>
      <c r="H123" s="377"/>
    </row>
    <row r="124" spans="1:11" x14ac:dyDescent="0.25">
      <c r="F124" s="377"/>
      <c r="G124" s="377"/>
      <c r="H124" s="377"/>
    </row>
    <row r="125" spans="1:11" x14ac:dyDescent="0.25">
      <c r="K125" s="125"/>
    </row>
    <row r="126" spans="1:11" ht="13.8" thickBot="1" x14ac:dyDescent="0.3">
      <c r="A126" s="115" t="s">
        <v>723</v>
      </c>
      <c r="B126" s="120"/>
      <c r="C126" s="120"/>
      <c r="D126" s="120"/>
      <c r="E126" s="120"/>
      <c r="F126" s="120"/>
      <c r="G126" s="120"/>
      <c r="H126" s="120"/>
      <c r="I126" s="120"/>
      <c r="K126" s="125"/>
    </row>
    <row r="127" spans="1:11" ht="13.8" x14ac:dyDescent="0.25">
      <c r="A127" s="270"/>
      <c r="B127" s="270"/>
      <c r="C127" s="270"/>
      <c r="D127" s="270"/>
      <c r="E127" s="304"/>
      <c r="F127" s="390" t="s">
        <v>182</v>
      </c>
      <c r="G127" s="390"/>
      <c r="H127" s="390"/>
      <c r="I127" s="390"/>
    </row>
    <row r="128" spans="1:11" ht="14.4" thickBot="1" x14ac:dyDescent="0.3">
      <c r="A128" s="283"/>
      <c r="B128" s="305" t="str">
        <f>TEXT(DATE(2000,TEXT(H3,"M")-1,1),"mmm")&amp; " "&amp; TEXT(H3,"YYYY")</f>
        <v>Nov 2021</v>
      </c>
      <c r="C128" s="273" t="s">
        <v>16</v>
      </c>
      <c r="D128" s="305" t="str">
        <f>TEXT(DATE(2000,TEXT(H3,"M")-1,1),"mmm")&amp; " "&amp; TEXT(H3,"YYYY")-1</f>
        <v>Nov 2020</v>
      </c>
      <c r="E128" s="306" t="s">
        <v>16</v>
      </c>
      <c r="F128" s="283">
        <f>TEXT($H$3,"YYYY")-1</f>
        <v>2020</v>
      </c>
      <c r="G128" s="273">
        <f>TEXT($H$3,"YYYY")-2</f>
        <v>2019</v>
      </c>
      <c r="H128" s="283">
        <f>TEXT($H$3,"YYYY")-3</f>
        <v>2018</v>
      </c>
      <c r="I128" s="273">
        <f>TEXT($H$3,"YYYY")-4</f>
        <v>2017</v>
      </c>
    </row>
    <row r="129" spans="1:11" ht="13.8" x14ac:dyDescent="0.25">
      <c r="A129" s="237" t="s">
        <v>17</v>
      </c>
      <c r="B129" s="369">
        <v>1093632.0900000001</v>
      </c>
      <c r="C129" s="325">
        <v>18</v>
      </c>
      <c r="D129" s="369">
        <v>970936</v>
      </c>
      <c r="E129" s="325">
        <v>16</v>
      </c>
      <c r="F129" s="293">
        <v>19</v>
      </c>
      <c r="G129" s="325">
        <v>17</v>
      </c>
      <c r="H129" s="293">
        <v>18</v>
      </c>
      <c r="I129" s="325">
        <v>17</v>
      </c>
      <c r="K129" s="125"/>
    </row>
    <row r="130" spans="1:11" ht="13.8" x14ac:dyDescent="0.25">
      <c r="A130" s="237" t="s">
        <v>18</v>
      </c>
      <c r="B130" s="369">
        <v>28414.85</v>
      </c>
      <c r="C130" s="325">
        <v>25</v>
      </c>
      <c r="D130" s="369">
        <v>33188</v>
      </c>
      <c r="E130" s="325">
        <v>23</v>
      </c>
      <c r="F130" s="293">
        <v>27</v>
      </c>
      <c r="G130" s="325">
        <v>20</v>
      </c>
      <c r="H130" s="293">
        <v>20</v>
      </c>
      <c r="I130" s="325">
        <v>24</v>
      </c>
      <c r="K130" s="251"/>
    </row>
    <row r="131" spans="1:11" ht="13.8" x14ac:dyDescent="0.25">
      <c r="A131" s="237" t="s">
        <v>146</v>
      </c>
      <c r="B131" s="343">
        <v>0.2830013153692299</v>
      </c>
      <c r="C131" s="325">
        <v>40</v>
      </c>
      <c r="D131" s="343">
        <v>0.38279999999999997</v>
      </c>
      <c r="E131" s="325">
        <v>32</v>
      </c>
      <c r="F131" s="293">
        <v>36</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Dec 2021</v>
      </c>
      <c r="C140" s="271" t="str">
        <f>TEXT($H$3,"YYYY")</f>
        <v>2021</v>
      </c>
      <c r="D140" s="271">
        <f>TEXT($H$3,"YYYY")-1</f>
        <v>2020</v>
      </c>
      <c r="E140" s="273" t="s">
        <v>6</v>
      </c>
      <c r="F140" s="273">
        <f>TEXT($H$3,"YYYY")-1</f>
        <v>2020</v>
      </c>
      <c r="G140" s="273">
        <f>TEXT($H$3,"YYYY")-2</f>
        <v>2019</v>
      </c>
      <c r="H140" s="273">
        <f>TEXT($H$3,"YYYY")-3</f>
        <v>2018</v>
      </c>
      <c r="I140" s="273">
        <f>TEXT($H$3,"YYYY")-4</f>
        <v>2017</v>
      </c>
    </row>
    <row r="141" spans="1:11" ht="13.8" x14ac:dyDescent="0.25">
      <c r="A141" s="237" t="s">
        <v>21</v>
      </c>
      <c r="B141" s="186">
        <f>SUMIF(Data!$DG$1:$DG$15,"AS",Data!$DH$1:$DH$15)/1000000</f>
        <v>0</v>
      </c>
      <c r="C141" s="341">
        <f>SUMIF(Data!$DJ$1:$DJ$15,"AS",Data!$DK$1:$DK$15)/1000000</f>
        <v>0</v>
      </c>
      <c r="D141" s="341">
        <f>SUMIF(Data!$DM$1:$DM$15,"AS",Data!$DN$1:$DN$15)/1000000</f>
        <v>1419.0386701500001</v>
      </c>
      <c r="E141" s="343">
        <f>IFERROR(IF(OR(AND(D141="",C141=""),AND(D141=0,C141=0)),0,
IF(OR(D141="",D141=0),1,
IF(OR(D141&lt;&gt;"",D141&lt;&gt;0),(C141-D141)/ABS(D141)))),-1)</f>
        <v>-1</v>
      </c>
      <c r="F141" s="367">
        <v>1419</v>
      </c>
      <c r="G141" s="348">
        <v>1107</v>
      </c>
      <c r="H141" s="349">
        <v>5231</v>
      </c>
      <c r="I141" s="349">
        <v>23315</v>
      </c>
    </row>
    <row r="142" spans="1:11" ht="13.8" x14ac:dyDescent="0.25">
      <c r="A142" s="237" t="s">
        <v>22</v>
      </c>
      <c r="B142" s="186">
        <f>(SUMIF(Data!$DG$1:$DG$15,"RT",Data!$DH$1:$DH$15)+SUMIF(Data!$DG$1:$DG$15,"TU",Data!$DH$1:$DH$15))/1000000</f>
        <v>3000</v>
      </c>
      <c r="C142" s="341">
        <f>(SUMIF(Data!$DJ$1:$DJ$15,"RT",Data!$DK$1:$DK$15)+SUMIF(Data!$DJ$1:$DJ$15,"TU",Data!$DK$1:$DK$15))/1000000</f>
        <v>3880.4899008400002</v>
      </c>
      <c r="D142" s="341">
        <f>(SUMIF(Data!$DM$1:$DM$15,"RT",Data!$DN$1:$DN$15)+SUMIF(Data!$DM$1:$DM$15,"TU",Data!$DN$1:$DN$15))/1000000</f>
        <v>27181.531702779997</v>
      </c>
      <c r="E142" s="343">
        <f t="shared" ref="E142:E145" si="12">IFERROR(IF(OR(AND(D142="",C142=""),AND(D142=0,C142=0)),0,
IF(OR(D142="",D142=0),1,
IF(OR(D142&lt;&gt;"",D142&lt;&gt;0),(C142-D142)/ABS(D142)))),-1)</f>
        <v>-0.8572379973552734</v>
      </c>
      <c r="F142" s="367">
        <v>27182</v>
      </c>
      <c r="G142" s="348">
        <v>4409</v>
      </c>
      <c r="H142" s="349">
        <v>5097</v>
      </c>
      <c r="I142" s="349">
        <v>32688</v>
      </c>
    </row>
    <row r="143" spans="1:11" ht="13.8" x14ac:dyDescent="0.25">
      <c r="A143" s="237" t="s">
        <v>156</v>
      </c>
      <c r="B143" s="186">
        <v>0</v>
      </c>
      <c r="C143" s="341">
        <v>0</v>
      </c>
      <c r="D143" s="341">
        <v>0</v>
      </c>
      <c r="E143" s="343">
        <f t="shared" si="12"/>
        <v>0</v>
      </c>
      <c r="F143" s="367" t="s">
        <v>507</v>
      </c>
      <c r="G143" s="348" t="s">
        <v>506</v>
      </c>
      <c r="H143" s="176" t="s">
        <v>500</v>
      </c>
      <c r="I143" s="176" t="s">
        <v>501</v>
      </c>
    </row>
    <row r="144" spans="1:11" ht="13.8" x14ac:dyDescent="0.25">
      <c r="A144" s="237" t="s">
        <v>23</v>
      </c>
      <c r="B144" s="186">
        <f>(SUMIF(Data!$DG$1:$DG$15,"SO",Data!$DH$1:$DH$15)+SUMIF(Data!$DG$1:$DG$15,"SS",Data!$DH$1:$DH$15))/1000000</f>
        <v>680.88861995000002</v>
      </c>
      <c r="C144" s="341">
        <f>(SUMIF(Data!$DJ$1:$DJ$15,"SO",Data!$DK$1:$DK$15)+SUMIF(Data!$DJ$1:$DJ$15,"SS",Data!$DK$1:$DK$15))/1000000</f>
        <v>3584.9215878199998</v>
      </c>
      <c r="D144" s="341">
        <f>(SUMIF(Data!$DM$1:$DM$15,"SO",Data!$DN$1:$DN$15)+SUMIF(Data!$DM$1:$DM$15,"SS",Data!$DN$1:$DN$15))/1000000</f>
        <v>3253.1328200600001</v>
      </c>
      <c r="E144" s="343">
        <f t="shared" si="12"/>
        <v>0.1019905383862809</v>
      </c>
      <c r="F144" s="367">
        <v>3253</v>
      </c>
      <c r="G144" s="348">
        <v>4585</v>
      </c>
      <c r="H144" s="349">
        <v>6461</v>
      </c>
      <c r="I144" s="349">
        <v>9468</v>
      </c>
    </row>
    <row r="145" spans="1:9" ht="13.8" x14ac:dyDescent="0.25">
      <c r="A145" s="237" t="s">
        <v>24</v>
      </c>
      <c r="B145" s="186">
        <v>685</v>
      </c>
      <c r="C145" s="369">
        <v>14277.92</v>
      </c>
      <c r="D145" s="341">
        <f>(SUMIF(Data!$DM$1:$DM$15,"SI",Data!$DN$1:$DN$15)+SUMIF(Data!$DM$1:$DM$15,"GI",Data!$DN$1:$DN$15))/1000000</f>
        <v>35048.448589580003</v>
      </c>
      <c r="E145" s="343">
        <f t="shared" si="12"/>
        <v>-0.59262333784882959</v>
      </c>
      <c r="F145" s="367">
        <v>35048</v>
      </c>
      <c r="G145" s="348">
        <v>25745</v>
      </c>
      <c r="H145" s="349">
        <v>38830</v>
      </c>
      <c r="I145" s="349">
        <v>35048</v>
      </c>
    </row>
    <row r="146" spans="1:9" ht="13.8" x14ac:dyDescent="0.25">
      <c r="A146" s="277" t="s">
        <v>25</v>
      </c>
      <c r="B146" s="342">
        <f>SUM(B141:B145)</f>
        <v>4365.8886199500002</v>
      </c>
      <c r="C146" s="342">
        <f>SUM(C141:C145)</f>
        <v>21743.331488659998</v>
      </c>
      <c r="D146" s="342">
        <f>SUM(D141:D145)</f>
        <v>66902.151782569999</v>
      </c>
      <c r="E146" s="344">
        <f>IFERROR(IF(OR(AND(D146="",C146=""),AND(D146=0,C146=0)),0,
IF(OR(D146="",D146=0),1,
IF(OR(D146&lt;&gt;"",D146&lt;&gt;0),(C146-D146)/ABS(D146)))),-1)</f>
        <v>-0.6749980245878312</v>
      </c>
      <c r="F146" s="371">
        <v>66902</v>
      </c>
      <c r="G146" s="355">
        <v>35847</v>
      </c>
      <c r="H146" s="355">
        <v>55620</v>
      </c>
      <c r="I146" s="355">
        <v>100520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Dec 2021</v>
      </c>
      <c r="C153" s="271" t="str">
        <f>TEXT($H$3,"YYYY")</f>
        <v>2021</v>
      </c>
      <c r="D153" s="271">
        <f>TEXT($H$3,"YYYY")-1</f>
        <v>2020</v>
      </c>
      <c r="E153" s="273" t="s">
        <v>6</v>
      </c>
      <c r="F153" s="273">
        <f>TEXT($H$3,"YYYY")-1</f>
        <v>2020</v>
      </c>
      <c r="G153" s="273">
        <f>TEXT($H$3,"YYYY")-2</f>
        <v>2019</v>
      </c>
      <c r="H153" s="273">
        <f>TEXT($H$3,"YYYY")-3</f>
        <v>2018</v>
      </c>
      <c r="I153" s="273">
        <f>TEXT($H$3,"YYYY")-4</f>
        <v>2017</v>
      </c>
    </row>
    <row r="154" spans="1:9" ht="13.8" x14ac:dyDescent="0.25">
      <c r="A154" s="237" t="s">
        <v>152</v>
      </c>
      <c r="B154" s="275">
        <v>0.26250000000000001</v>
      </c>
      <c r="C154" s="275">
        <v>0.31929999999999997</v>
      </c>
      <c r="D154" s="275">
        <v>0.372</v>
      </c>
      <c r="E154" s="275">
        <f>IFERROR(IF(OR(AND(D154="",C154=""),AND(D154=0,C154=0)),"",
IF(OR(D154="",D154=0),1,
IF(OR(D154&lt;&gt;"",D154&lt;&gt;0),(C154-D154)/ABS(D154)))),-1)</f>
        <v>-0.14166666666666675</v>
      </c>
      <c r="F154" s="373">
        <v>37.200000000000003</v>
      </c>
      <c r="G154" s="352">
        <v>35.89</v>
      </c>
      <c r="H154" s="352">
        <v>44.7</v>
      </c>
      <c r="I154" s="352">
        <v>35.9</v>
      </c>
    </row>
    <row r="155" spans="1:9" ht="13.8" x14ac:dyDescent="0.25">
      <c r="A155" s="236" t="s">
        <v>153</v>
      </c>
      <c r="B155" s="275">
        <v>0.24490000000000001</v>
      </c>
      <c r="C155" s="275">
        <v>0.28920000000000001</v>
      </c>
      <c r="D155" s="275">
        <v>0.34889999999999999</v>
      </c>
      <c r="E155" s="275">
        <f>IFERROR(IF(OR(AND(D155="",C155=""),AND(D155=0,C155=0)),"",
IF(OR(D155="",D155=0),1,
IF(OR(D155&lt;&gt;"",D155&lt;&gt;0),(C155-D155)/ABS(D155)))),-1)</f>
        <v>-0.17110920034393803</v>
      </c>
      <c r="F155" s="373">
        <v>34.89</v>
      </c>
      <c r="G155" s="352">
        <v>34.21</v>
      </c>
      <c r="H155" s="352">
        <v>42</v>
      </c>
      <c r="I155" s="352">
        <v>33</v>
      </c>
    </row>
    <row r="156" spans="1:9" ht="13.8" thickBot="1" x14ac:dyDescent="0.3">
      <c r="A156" s="108"/>
      <c r="B156" s="138"/>
      <c r="C156" s="138"/>
      <c r="D156" s="137"/>
      <c r="E156" s="112"/>
      <c r="F156" s="141"/>
      <c r="G156" s="141"/>
      <c r="H156" s="141"/>
      <c r="I156" s="141"/>
    </row>
    <row r="157" spans="1:9" ht="13.8" thickTop="1" x14ac:dyDescent="0.25">
      <c r="A157" s="18" t="s">
        <v>724</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Dec 2021</v>
      </c>
      <c r="C163" s="271" t="str">
        <f>TEXT($H$3,"YYYY")</f>
        <v>2021</v>
      </c>
      <c r="D163" s="271">
        <f>TEXT($H$3,"YYYY")-1</f>
        <v>2020</v>
      </c>
      <c r="E163" s="273" t="s">
        <v>6</v>
      </c>
      <c r="F163" s="273">
        <f>TEXT($H$3,"YYYY")-1</f>
        <v>2020</v>
      </c>
      <c r="G163" s="273">
        <f>TEXT($H$3,"YYYY")-2</f>
        <v>2019</v>
      </c>
      <c r="H163" s="273">
        <f>TEXT($H$3,"YYYY")-3</f>
        <v>2018</v>
      </c>
      <c r="I163" s="273">
        <f>TEXT($H$3,"YYYY")-4</f>
        <v>2017</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288</v>
      </c>
      <c r="C165" s="238">
        <f>SUMIF(Data!$BT$9:$BT$14,"&lt;&gt;AltX",Data!BU9:BU14)</f>
        <v>288</v>
      </c>
      <c r="D165" s="238">
        <f>SUMIF(Data!$BT$17:$BT$23,"&lt;&gt;AltX",Data!$BU$17:$BU$24)</f>
        <v>300</v>
      </c>
      <c r="E165" s="275">
        <f>IFERROR(IF(OR(AND(D165="",C165=""),AND(D165=0,C165=0)),"",
IF(OR(D165="",D165=0),1,
IF(OR(D165&lt;&gt;"",D165&lt;&gt;0),(C165-D165)/ABS(D165)))),-1)</f>
        <v>-0.04</v>
      </c>
      <c r="F165" s="366">
        <v>300</v>
      </c>
      <c r="G165" s="346">
        <v>312</v>
      </c>
      <c r="H165" s="346">
        <v>326</v>
      </c>
      <c r="I165" s="346">
        <v>324</v>
      </c>
    </row>
    <row r="166" spans="1:9" ht="13.8" x14ac:dyDescent="0.25">
      <c r="A166" s="237" t="s">
        <v>30</v>
      </c>
      <c r="B166" s="238">
        <f ca="1">SUMIF(Data!$BT$1:$BT$7,"&lt;&gt;AltX",Data!$BV$1:$BV$6)</f>
        <v>2</v>
      </c>
      <c r="C166" s="238">
        <f>SUMIF(Data!$BT$9:$BT$14,"&lt;&gt;AltX",Data!BV9:BV14)</f>
        <v>9</v>
      </c>
      <c r="D166" s="238">
        <f>SUMIF(Data!$BT$17:$BT$23,"&lt;&gt;AltX",Data!$BV$17:$BV$23)</f>
        <v>5</v>
      </c>
      <c r="E166" s="275">
        <f t="shared" ref="E166:E167" si="13">IFERROR(IF(OR(AND(D166="",C166=""),AND(D166=0,C166=0)),"",
IF(OR(D166="",D166=0),1,
IF(OR(D166&lt;&gt;"",D166&lt;&gt;0),(C166-D166)/ABS(D166)))),-1)</f>
        <v>0.8</v>
      </c>
      <c r="F166" s="366">
        <v>5</v>
      </c>
      <c r="G166" s="346">
        <v>6</v>
      </c>
      <c r="H166" s="346">
        <v>11</v>
      </c>
      <c r="I166" s="346">
        <v>13</v>
      </c>
    </row>
    <row r="167" spans="1:9" ht="13.8" x14ac:dyDescent="0.25">
      <c r="A167" s="237" t="s">
        <v>31</v>
      </c>
      <c r="B167" s="238">
        <f ca="1">SUMIF(Data!$BT$1:$BT$7,"&lt;&gt;AltX",Data!$BW$1:$BW$6)</f>
        <v>2</v>
      </c>
      <c r="C167" s="238">
        <f>SUMIF(Data!$BT$9:$BT$14,"&lt;&gt;AltX",Data!BW9:BW14)</f>
        <v>20</v>
      </c>
      <c r="D167" s="238">
        <f>SUMIF(Data!$BT$17:$BT$23,"&lt;&gt;AltX",Data!$BW$17:$BW$23)</f>
        <v>17</v>
      </c>
      <c r="E167" s="275">
        <f t="shared" si="13"/>
        <v>0.17647058823529413</v>
      </c>
      <c r="F167" s="366">
        <v>17</v>
      </c>
      <c r="G167" s="346">
        <v>20</v>
      </c>
      <c r="H167" s="346">
        <v>9</v>
      </c>
      <c r="I167" s="346">
        <v>21</v>
      </c>
    </row>
    <row r="168" spans="1:9" ht="13.8" x14ac:dyDescent="0.25">
      <c r="A168" s="237"/>
      <c r="B168" s="238"/>
      <c r="C168" s="238"/>
      <c r="D168" s="238"/>
      <c r="E168" s="309"/>
      <c r="F168" s="366"/>
      <c r="G168" s="346"/>
      <c r="H168" s="346"/>
      <c r="I168" s="346"/>
    </row>
    <row r="169" spans="1:9" ht="13.8" x14ac:dyDescent="0.25">
      <c r="A169" s="277" t="s">
        <v>125</v>
      </c>
      <c r="B169" s="238"/>
      <c r="C169" s="238"/>
      <c r="D169" s="238"/>
      <c r="E169" s="309"/>
      <c r="F169" s="366"/>
      <c r="G169" s="346"/>
      <c r="H169" s="346"/>
      <c r="I169" s="346"/>
    </row>
    <row r="170" spans="1:9" ht="13.8" x14ac:dyDescent="0.25">
      <c r="A170" s="237" t="s">
        <v>29</v>
      </c>
      <c r="B170" s="238">
        <f ca="1">SUMIF(Data!$BT$1:$BT$7,"AltX",Data!$BU$1:$BU$6)</f>
        <v>36</v>
      </c>
      <c r="C170" s="238">
        <f>SUMIF(Data!$BT$9:$BT$14,"AltX",Data!BU9:BU14)</f>
        <v>36</v>
      </c>
      <c r="D170" s="238">
        <f>SUMIF(Data!$BT$17:$BT$23,"AltX",Data!$BU$17:$BU$24)</f>
        <v>39</v>
      </c>
      <c r="E170" s="275">
        <f t="shared" ref="E170:E171" si="14">IFERROR(IF(OR(AND(D170="",C170=""),AND(D170=0,C170=0)),"",
IF(OR(D170="",D170=0),1,
IF(OR(D170&lt;&gt;"",D170&lt;&gt;0),(C170-D170)/ABS(D170)))),-1)</f>
        <v>-7.6923076923076927E-2</v>
      </c>
      <c r="F170" s="366">
        <v>39</v>
      </c>
      <c r="G170" s="346">
        <v>42</v>
      </c>
      <c r="H170" s="346">
        <v>46</v>
      </c>
      <c r="I170" s="346">
        <v>53</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66" t="s">
        <v>507</v>
      </c>
      <c r="G171" s="346" t="s">
        <v>506</v>
      </c>
      <c r="H171" s="346">
        <v>1</v>
      </c>
      <c r="I171" s="346">
        <v>8</v>
      </c>
    </row>
    <row r="172" spans="1:9" ht="13.8" x14ac:dyDescent="0.25">
      <c r="A172" s="237" t="s">
        <v>31</v>
      </c>
      <c r="B172" s="238">
        <f ca="1">SUMIF(Data!$BT$1:$BT$7,"AltX",Data!$BW$1:$BW$6)</f>
        <v>1</v>
      </c>
      <c r="C172" s="238">
        <f>SUMIF(Data!$BT$9:$BT$14,"AltX",Data!BW9:BW14)</f>
        <v>4</v>
      </c>
      <c r="D172" s="238">
        <f>SUMIF(Data!$BT$17:$BT$23,"AltX",Data!$BW$17:$BW$23)</f>
        <v>2</v>
      </c>
      <c r="E172" s="275">
        <f t="shared" ref="E172" ca="1" si="15">IFERROR(IF(OR(AND(C172="",B172=""),AND(C172=0,B172=0)),"",
IF(OR(C172="",C172=0),1,
IF(OR(C172&lt;&gt;"",C172&lt;&gt;0),(B172-C172)/ABS(C172)))),-1)</f>
        <v>-0.75</v>
      </c>
      <c r="F172" s="366">
        <v>2</v>
      </c>
      <c r="G172" s="346">
        <v>4</v>
      </c>
      <c r="H172" s="346">
        <v>8</v>
      </c>
      <c r="I172" s="346">
        <v>11</v>
      </c>
    </row>
    <row r="173" spans="1:9" ht="13.8" x14ac:dyDescent="0.25">
      <c r="A173" s="237"/>
      <c r="B173" s="238"/>
      <c r="C173" s="238"/>
      <c r="D173" s="238"/>
      <c r="E173" s="309"/>
      <c r="F173" s="366"/>
      <c r="G173" s="346"/>
      <c r="H173" s="346"/>
      <c r="I173" s="346"/>
    </row>
    <row r="174" spans="1:9" ht="13.8" x14ac:dyDescent="0.25">
      <c r="A174" s="277" t="s">
        <v>32</v>
      </c>
      <c r="B174" s="238"/>
      <c r="C174" s="238"/>
      <c r="D174" s="238"/>
      <c r="E174" s="309"/>
      <c r="F174" s="366"/>
      <c r="G174" s="346"/>
      <c r="H174" s="346"/>
      <c r="I174" s="346"/>
    </row>
    <row r="175" spans="1:9" ht="13.8" x14ac:dyDescent="0.25">
      <c r="A175" s="237" t="s">
        <v>30</v>
      </c>
      <c r="B175" s="238">
        <f t="shared" ref="B175:D176" ca="1" si="16">B166+B171</f>
        <v>2</v>
      </c>
      <c r="C175" s="238">
        <f t="shared" si="16"/>
        <v>9</v>
      </c>
      <c r="D175" s="238">
        <f t="shared" si="16"/>
        <v>5</v>
      </c>
      <c r="E175" s="275">
        <f t="shared" ref="E175:E181" si="17">IFERROR(IF(OR(AND(D175="",C175=""),AND(D175=0,C175=0)),"",
IF(OR(D175="",D175=0),1,
IF(OR(D175&lt;&gt;"",D175&lt;&gt;0),(C175-D175)/ABS(D175)))),-1)</f>
        <v>0.8</v>
      </c>
      <c r="F175" s="366">
        <v>5</v>
      </c>
      <c r="G175" s="346">
        <v>6</v>
      </c>
      <c r="H175" s="346">
        <v>12</v>
      </c>
      <c r="I175" s="346">
        <v>21</v>
      </c>
    </row>
    <row r="176" spans="1:9" ht="13.8" x14ac:dyDescent="0.25">
      <c r="A176" s="237" t="s">
        <v>31</v>
      </c>
      <c r="B176" s="238">
        <f t="shared" ca="1" si="16"/>
        <v>3</v>
      </c>
      <c r="C176" s="238">
        <f t="shared" si="16"/>
        <v>24</v>
      </c>
      <c r="D176" s="238">
        <v>20</v>
      </c>
      <c r="E176" s="275">
        <f>IFERROR(IF(OR(AND(D176="",C176=""),AND(D176=0,C176=0)),"",
IF(OR(D176="",D176=0),1,
IF(OR(D176&lt;&gt;"",D176&lt;&gt;0),(C176-D176)/ABS(D176)))),-1)</f>
        <v>0.2</v>
      </c>
      <c r="F176" s="366">
        <v>20</v>
      </c>
      <c r="G176" s="346">
        <v>24</v>
      </c>
      <c r="H176" s="346">
        <v>17</v>
      </c>
      <c r="I176" s="346">
        <v>32</v>
      </c>
    </row>
    <row r="177" spans="1:9" ht="13.8" x14ac:dyDescent="0.25">
      <c r="A177" s="237" t="s">
        <v>33</v>
      </c>
      <c r="B177" s="238">
        <f>SUM(Data!$CB$2:$CB$6)</f>
        <v>72</v>
      </c>
      <c r="C177" s="238">
        <f>SUM(Data!$CB$10:$CB$14)</f>
        <v>72</v>
      </c>
      <c r="D177" s="238">
        <f>SUM(Data!CB18:CB22)</f>
        <v>69</v>
      </c>
      <c r="E177" s="275">
        <f t="shared" si="17"/>
        <v>4.3478260869565216E-2</v>
      </c>
      <c r="F177" s="366">
        <v>69</v>
      </c>
      <c r="G177" s="346">
        <v>71</v>
      </c>
      <c r="H177" s="346">
        <v>74</v>
      </c>
      <c r="I177" s="346">
        <v>75</v>
      </c>
    </row>
    <row r="178" spans="1:9" ht="13.8" x14ac:dyDescent="0.25">
      <c r="A178" s="237" t="s">
        <v>34</v>
      </c>
      <c r="B178" s="238">
        <f>SUM(Data!$CA$2:$CA$6)</f>
        <v>252</v>
      </c>
      <c r="C178" s="238">
        <f>SUM(Data!$CA$10:$CA$14)</f>
        <v>252</v>
      </c>
      <c r="D178" s="238">
        <f>SUM(Data!CA18:CA22)</f>
        <v>270</v>
      </c>
      <c r="E178" s="275">
        <f t="shared" si="17"/>
        <v>-6.6666666666666666E-2</v>
      </c>
      <c r="F178" s="366">
        <v>270</v>
      </c>
      <c r="G178" s="346">
        <v>283</v>
      </c>
      <c r="H178" s="346">
        <v>298</v>
      </c>
      <c r="I178" s="346">
        <v>302</v>
      </c>
    </row>
    <row r="179" spans="1:9" ht="13.8" x14ac:dyDescent="0.25">
      <c r="A179" s="277" t="s">
        <v>35</v>
      </c>
      <c r="B179" s="239">
        <f ca="1">B165+B170</f>
        <v>324</v>
      </c>
      <c r="C179" s="239">
        <f>C165+C170</f>
        <v>324</v>
      </c>
      <c r="D179" s="239">
        <f>D165+D170</f>
        <v>339</v>
      </c>
      <c r="E179" s="310">
        <f t="shared" si="17"/>
        <v>-4.4247787610619468E-2</v>
      </c>
      <c r="F179" s="368">
        <v>339</v>
      </c>
      <c r="G179" s="347">
        <v>354</v>
      </c>
      <c r="H179" s="347">
        <v>372</v>
      </c>
      <c r="I179" s="347">
        <v>377</v>
      </c>
    </row>
    <row r="180" spans="1:9" ht="13.8" x14ac:dyDescent="0.25">
      <c r="A180" s="277"/>
      <c r="B180" s="238"/>
      <c r="C180" s="238"/>
      <c r="D180" s="239"/>
      <c r="E180" s="237"/>
      <c r="F180" s="366"/>
      <c r="G180" s="346"/>
      <c r="H180" s="346"/>
      <c r="I180" s="346"/>
    </row>
    <row r="181" spans="1:9" ht="13.8" x14ac:dyDescent="0.25">
      <c r="A181" s="277" t="s">
        <v>36</v>
      </c>
      <c r="B181" s="239">
        <f>Data!CD2</f>
        <v>1108</v>
      </c>
      <c r="C181" s="239">
        <f>Data!CD2</f>
        <v>1108</v>
      </c>
      <c r="D181" s="239">
        <f>Data!CD5</f>
        <v>1003</v>
      </c>
      <c r="E181" s="310">
        <f t="shared" si="17"/>
        <v>0.10468594217347957</v>
      </c>
      <c r="F181" s="368">
        <v>1003</v>
      </c>
      <c r="G181" s="347">
        <v>946</v>
      </c>
      <c r="H181" s="347">
        <v>822</v>
      </c>
      <c r="I181" s="347">
        <v>812</v>
      </c>
    </row>
    <row r="182" spans="1:9" ht="13.8" x14ac:dyDescent="0.25">
      <c r="A182" s="277"/>
      <c r="B182" s="238"/>
      <c r="C182" s="238"/>
      <c r="D182" s="238"/>
      <c r="E182" s="237"/>
      <c r="F182" s="237"/>
      <c r="G182" s="237"/>
      <c r="H182" s="237"/>
      <c r="I182" s="237"/>
    </row>
    <row r="183" spans="1:9" ht="13.8" x14ac:dyDescent="0.25">
      <c r="A183" s="235" t="s">
        <v>37</v>
      </c>
      <c r="B183" s="311">
        <f>Data!CE2/1000000000</f>
        <v>20499.780365269966</v>
      </c>
      <c r="C183" s="311"/>
      <c r="D183" s="311">
        <f>Data!CE5/1000000000</f>
        <v>17854.038801902469</v>
      </c>
      <c r="E183" s="310">
        <f>IFERROR(IF(OR(AND(D183="",B183=""),AND(D183=0,B183=0)),"",
IF(OR(D183="",D183=0),1,
IF(OR(D183&lt;&gt;"",D183&lt;&gt;0),(B183-D183)/ABS(D183)))),-1)</f>
        <v>0.14818728651388255</v>
      </c>
      <c r="F183" s="353"/>
      <c r="G183" s="353">
        <v>17440.3</v>
      </c>
      <c r="H183" s="353">
        <v>12682</v>
      </c>
      <c r="I183" s="353">
        <v>15461.4</v>
      </c>
    </row>
    <row r="184" spans="1:9" ht="13.8" thickBot="1" x14ac:dyDescent="0.3">
      <c r="A184" s="108"/>
      <c r="B184" s="137"/>
      <c r="C184" s="137"/>
      <c r="D184" s="137"/>
      <c r="E184" s="137"/>
      <c r="F184" s="110"/>
      <c r="G184" s="137"/>
      <c r="H184" s="137"/>
      <c r="I184" s="137"/>
    </row>
    <row r="185" spans="1:9" ht="13.8" thickTop="1" x14ac:dyDescent="0.25">
      <c r="A185" s="18" t="s">
        <v>155</v>
      </c>
      <c r="B185" s="131"/>
      <c r="C185" s="27"/>
      <c r="D185" s="27"/>
      <c r="E185" s="27"/>
      <c r="F185" s="27"/>
      <c r="G185" s="27"/>
      <c r="H185" s="27"/>
      <c r="I185" s="27"/>
    </row>
    <row r="194" spans="1:13" ht="12.75" customHeight="1" x14ac:dyDescent="0.25">
      <c r="E194" s="124"/>
      <c r="F194" s="124"/>
      <c r="G194" s="124"/>
      <c r="H194" s="124"/>
      <c r="I194" s="124"/>
    </row>
    <row r="195" spans="1:13" ht="12.75" customHeight="1" x14ac:dyDescent="0.25">
      <c r="A195" s="107" t="str">
        <f>"Market Profile - "&amp; TEXT($H$3,"MMM")&amp;" "&amp;TEXT($H$3,"YYYY")</f>
        <v>Market Profile - Dec 2021</v>
      </c>
      <c r="E195" s="377" t="s">
        <v>178</v>
      </c>
      <c r="F195" s="377"/>
      <c r="G195" s="377"/>
      <c r="H195" s="377"/>
      <c r="I195" s="124"/>
    </row>
    <row r="196" spans="1:13" ht="13.8" thickBot="1" x14ac:dyDescent="0.3">
      <c r="A196" s="115"/>
      <c r="B196" s="115"/>
      <c r="C196" s="115"/>
      <c r="D196" s="115"/>
      <c r="E196" s="383"/>
      <c r="F196" s="383"/>
      <c r="G196" s="383"/>
      <c r="H196" s="383"/>
      <c r="I196" s="115"/>
    </row>
    <row r="197" spans="1:13" ht="13.8" x14ac:dyDescent="0.25">
      <c r="A197" s="270"/>
      <c r="B197" s="270"/>
      <c r="C197" s="270"/>
      <c r="D197" s="173"/>
      <c r="E197" s="197"/>
      <c r="F197" s="312"/>
      <c r="G197" s="386" t="s">
        <v>180</v>
      </c>
      <c r="H197" s="386" t="s">
        <v>179</v>
      </c>
      <c r="I197" s="313"/>
    </row>
    <row r="198" spans="1:13" ht="12.75" customHeight="1" x14ac:dyDescent="0.25">
      <c r="A198" s="270"/>
      <c r="B198" s="270"/>
      <c r="C198" s="270"/>
      <c r="D198" s="173"/>
      <c r="E198" s="386" t="s">
        <v>39</v>
      </c>
      <c r="F198" s="391" t="str">
        <f>"Index Close   "&amp;TEXT($H$3,"MMM")&amp;" "&amp;TEXT($H$3,"YYYY")</f>
        <v>Index Close   Dec 2021</v>
      </c>
      <c r="G198" s="386"/>
      <c r="H198" s="386"/>
      <c r="I198" s="393" t="s">
        <v>40</v>
      </c>
    </row>
    <row r="199" spans="1:13" ht="14.4" thickBot="1" x14ac:dyDescent="0.3">
      <c r="A199" s="314"/>
      <c r="B199" s="315"/>
      <c r="C199" s="315"/>
      <c r="D199" s="188"/>
      <c r="E199" s="387"/>
      <c r="F199" s="392"/>
      <c r="G199" s="387"/>
      <c r="H199" s="387"/>
      <c r="I199" s="394"/>
    </row>
    <row r="200" spans="1:13" ht="13.8" x14ac:dyDescent="0.25">
      <c r="A200" s="316" t="s">
        <v>38</v>
      </c>
      <c r="B200" s="316"/>
      <c r="C200" s="316"/>
      <c r="D200" s="316"/>
      <c r="E200" s="316"/>
      <c r="F200" s="316"/>
      <c r="G200" s="316"/>
      <c r="H200" s="316"/>
      <c r="I200" s="316"/>
    </row>
    <row r="201" spans="1:13" ht="13.8" x14ac:dyDescent="0.25">
      <c r="A201" s="237" t="s">
        <v>41</v>
      </c>
      <c r="B201" s="237"/>
      <c r="C201" s="175"/>
      <c r="D201" s="175"/>
      <c r="E201" s="237" t="s">
        <v>42</v>
      </c>
      <c r="F201" s="175">
        <f>IFERROR(VLOOKUP(E201,Data!$G$23:$H$196,2,FALSE),0)</f>
        <v>73709.387483660001</v>
      </c>
      <c r="G201" s="275">
        <f>IF(IFERROR(VLOOKUP(E201,Data!$O$23:$P$196,2,FALSE),0)=0,0,(F201-IFERROR(VLOOKUP(E201,Data!$O$23:$P$196,2,FALSE),0))/ABS(IFERROR(VLOOKUP(E201,Data!$O$23:$P$196,2,FALSE),0)))</f>
        <v>4.5893853975242441E-2</v>
      </c>
      <c r="H201" s="175">
        <f>VLOOKUP(E201,Data!$B$23:$E$400,3,FALSE)</f>
        <v>73786.445899209997</v>
      </c>
      <c r="I201" s="317">
        <f>VLOOKUP(E201,Data!$B$23:$E$400,2,FALSE)</f>
        <v>44560</v>
      </c>
    </row>
    <row r="202" spans="1:13" ht="13.8" x14ac:dyDescent="0.25">
      <c r="A202" s="237" t="s">
        <v>43</v>
      </c>
      <c r="B202" s="237"/>
      <c r="C202" s="175"/>
      <c r="D202" s="175"/>
      <c r="E202" s="237" t="s">
        <v>44</v>
      </c>
      <c r="F202" s="175">
        <f>IFERROR(VLOOKUP(E202,Data!$G$23:$H$196,2,FALSE),0)</f>
        <v>79701.572592080003</v>
      </c>
      <c r="G202" s="275">
        <f>IF(IFERROR(VLOOKUP(E202,Data!$O$23:$P$196,2,FALSE),0)=0,0,(F202-IFERROR(VLOOKUP(E202,Data!$O$23:$P$196,2,FALSE),0))/ABS(IFERROR(VLOOKUP(E202,Data!$O$23:$P$196,2,FALSE),0)))</f>
        <v>3.6744321387620543E-2</v>
      </c>
      <c r="H202" s="175">
        <f>VLOOKUP(E202,Data!$B$23:$E$400,3,FALSE)</f>
        <v>82603.124167989998</v>
      </c>
      <c r="I202" s="317">
        <f>VLOOKUP(E202,Data!$B$23:$E$400,2,FALSE)</f>
        <v>42594</v>
      </c>
      <c r="J202" s="152"/>
      <c r="M202" s="152"/>
    </row>
    <row r="203" spans="1:13" s="155" customFormat="1" ht="13.8" x14ac:dyDescent="0.25">
      <c r="A203" s="293" t="s">
        <v>45</v>
      </c>
      <c r="B203" s="293"/>
      <c r="C203" s="176"/>
      <c r="D203" s="176"/>
      <c r="E203" s="293" t="s">
        <v>46</v>
      </c>
      <c r="F203" s="176">
        <f>IFERROR(VLOOKUP(E203,Data!$G$23:$H$196,2,FALSE),0)</f>
        <v>67508.206986389996</v>
      </c>
      <c r="G203" s="318">
        <f>IF(IFERROR(VLOOKUP(E203,Data!$O$23:$P$196,2,FALSE),0)=0,0,(F203-IFERROR(VLOOKUP(E203,Data!$O$23:$P$196,2,FALSE),0))/ABS(IFERROR(VLOOKUP(E203,Data!$O$23:$P$196,2,FALSE),0)))</f>
        <v>6.8177600265876576E-2</v>
      </c>
      <c r="H203" s="175">
        <f>VLOOKUP(E203,Data!$B$23:$E$400,3,FALSE)</f>
        <v>67508.206986389996</v>
      </c>
      <c r="I203" s="317">
        <f>VLOOKUP(E203,Data!$B$23:$E$400,2,FALSE)</f>
        <v>44561</v>
      </c>
      <c r="K203" s="168"/>
      <c r="L203" s="168"/>
    </row>
    <row r="204" spans="1:13" ht="13.8" x14ac:dyDescent="0.25">
      <c r="A204" s="237" t="s">
        <v>47</v>
      </c>
      <c r="B204" s="237"/>
      <c r="C204" s="175"/>
      <c r="D204" s="175"/>
      <c r="E204" s="237" t="s">
        <v>48</v>
      </c>
      <c r="F204" s="175">
        <f>IFERROR(VLOOKUP(E204,Data!$G$23:$H$196,2,FALSE),0)</f>
        <v>8617.2694423800003</v>
      </c>
      <c r="G204" s="275">
        <f>IF(IFERROR(VLOOKUP(E204,Data!$O$23:$P$196,2,FALSE),0)=0,0,(F204-IFERROR(VLOOKUP(E204,Data!$O$23:$P$196,2,FALSE),0))/ABS(IFERROR(VLOOKUP(E204,Data!$O$23:$P$196,2,FALSE),0)))</f>
        <v>3.6581422862860792E-2</v>
      </c>
      <c r="H204" s="175">
        <f>VLOOKUP(E204,Data!$B$23:$E$400,3,FALSE)</f>
        <v>8617.2694423800003</v>
      </c>
      <c r="I204" s="317">
        <f>VLOOKUP(E204,Data!$B$23:$E$400,2,FALSE)</f>
        <v>44561</v>
      </c>
      <c r="J204" s="152"/>
      <c r="M204" s="152"/>
    </row>
    <row r="205" spans="1:13" ht="13.8" x14ac:dyDescent="0.25">
      <c r="A205" s="237" t="s">
        <v>49</v>
      </c>
      <c r="B205" s="237"/>
      <c r="C205" s="175"/>
      <c r="D205" s="175"/>
      <c r="E205" s="237" t="s">
        <v>50</v>
      </c>
      <c r="F205" s="175">
        <f>IFERROR(VLOOKUP(E205,Data!$G$23:$H$196,2,FALSE),0)</f>
        <v>36850.825312469999</v>
      </c>
      <c r="G205" s="275">
        <f>IF(IFERROR(VLOOKUP(E205,Data!$O$23:$P$196,2,FALSE),0)=0,0,(F205-IFERROR(VLOOKUP(E205,Data!$O$23:$P$196,2,FALSE),0))/ABS(IFERROR(VLOOKUP(E205,Data!$O$23:$P$196,2,FALSE),0)))</f>
        <v>4.4787442417308448E-2</v>
      </c>
      <c r="H205" s="175">
        <f>VLOOKUP(E205,Data!$B$23:$E$400,3,FALSE)</f>
        <v>36896.860627169997</v>
      </c>
      <c r="I205" s="317">
        <f>VLOOKUP(E205,Data!$B$23:$E$400,2,FALSE)</f>
        <v>44560</v>
      </c>
      <c r="J205" s="152"/>
      <c r="M205" s="152"/>
    </row>
    <row r="206" spans="1:13" ht="13.8" x14ac:dyDescent="0.25">
      <c r="A206" s="237" t="s">
        <v>51</v>
      </c>
      <c r="B206" s="237"/>
      <c r="C206" s="175"/>
      <c r="D206" s="175"/>
      <c r="E206" s="237" t="s">
        <v>52</v>
      </c>
      <c r="F206" s="175">
        <f>IFERROR(VLOOKUP(E206,Data!$G$23:$H$196,2,FALSE),0)</f>
        <v>14071.669214609999</v>
      </c>
      <c r="G206" s="275">
        <f>IF(IFERROR(VLOOKUP(E206,Data!$O$23:$P$196,2,FALSE),0)=0,0,(F206-IFERROR(VLOOKUP(E206,Data!$O$23:$P$196,2,FALSE),0))/ABS(IFERROR(VLOOKUP(E206,Data!$O$23:$P$196,2,FALSE),0)))</f>
        <v>4.3229780560595892E-2</v>
      </c>
      <c r="H206" s="175">
        <f>VLOOKUP(E206,Data!$B$23:$E$400,3,FALSE)</f>
        <v>14090.793303869999</v>
      </c>
      <c r="I206" s="317">
        <f>VLOOKUP(E206,Data!$B$23:$E$400,2,FALSE)</f>
        <v>44560</v>
      </c>
      <c r="J206" s="152"/>
      <c r="M206" s="152"/>
    </row>
    <row r="207" spans="1:13" ht="13.8" x14ac:dyDescent="0.25">
      <c r="A207" s="237"/>
      <c r="B207" s="237"/>
      <c r="C207" s="175"/>
      <c r="D207" s="175"/>
      <c r="E207" s="237"/>
      <c r="F207" s="175"/>
      <c r="G207" s="175"/>
      <c r="H207" s="175"/>
      <c r="I207" s="317"/>
    </row>
    <row r="208" spans="1:13" ht="13.8" x14ac:dyDescent="0.25">
      <c r="A208" s="316" t="s">
        <v>53</v>
      </c>
      <c r="B208" s="316"/>
      <c r="C208" s="316"/>
      <c r="D208" s="316"/>
      <c r="E208" s="316"/>
      <c r="F208" s="316"/>
      <c r="G208" s="316"/>
      <c r="H208" s="316"/>
      <c r="I208" s="316"/>
    </row>
    <row r="209" spans="1:13" ht="13.8" x14ac:dyDescent="0.25">
      <c r="A209" s="237" t="s">
        <v>54</v>
      </c>
      <c r="B209" s="237"/>
      <c r="C209" s="175"/>
      <c r="D209" s="175"/>
      <c r="E209" s="237" t="s">
        <v>55</v>
      </c>
      <c r="F209" s="175">
        <f>IFERROR(VLOOKUP(E209,Data!$G$23:$H$196,2,FALSE),0)</f>
        <v>67052.40039101</v>
      </c>
      <c r="G209" s="275">
        <f>IF(IFERROR(VLOOKUP(E209,Data!$O$23:$P$196,2,FALSE),0)=0,0,(F209-IFERROR(VLOOKUP(E209,Data!$O$23:$P$196,2,FALSE),0))/ABS(IFERROR(VLOOKUP(E209,Data!$O$23:$P$196,2,FALSE),0)))</f>
        <v>4.6650092881106088E-2</v>
      </c>
      <c r="H209" s="175">
        <f>VLOOKUP(E209,Data!$B$23:$E$400,3,FALSE)</f>
        <v>67129.52584894</v>
      </c>
      <c r="I209" s="317">
        <f>VLOOKUP(E209,Data!$B$23:$E$400,2,FALSE)</f>
        <v>44560</v>
      </c>
    </row>
    <row r="210" spans="1:13" ht="13.8" x14ac:dyDescent="0.25">
      <c r="A210" s="237" t="s">
        <v>56</v>
      </c>
      <c r="B210" s="237"/>
      <c r="C210" s="175"/>
      <c r="D210" s="175"/>
      <c r="E210" s="237" t="s">
        <v>57</v>
      </c>
      <c r="F210" s="175">
        <f>IFERROR(VLOOKUP(E210,Data!$G$23:$H$196,2,FALSE),0)</f>
        <v>34191.463115769999</v>
      </c>
      <c r="G210" s="275">
        <f>IF(IFERROR(VLOOKUP(E210,Data!$O$23:$P$196,2,FALSE),0)=0,0,(F210-IFERROR(VLOOKUP(E210,Data!$O$23:$P$196,2,FALSE),0))/ABS(IFERROR(VLOOKUP(E210,Data!$O$23:$P$196,2,FALSE),0)))</f>
        <v>4.4594306272570092E-2</v>
      </c>
      <c r="H210" s="175">
        <f>VLOOKUP(E210,Data!$B$23:$E$400,3,FALSE)</f>
        <v>34240.107429830001</v>
      </c>
      <c r="I210" s="317">
        <f>VLOOKUP(E210,Data!$B$23:$E$400,2,FALSE)</f>
        <v>44560</v>
      </c>
      <c r="J210" s="152"/>
      <c r="M210" s="152"/>
    </row>
    <row r="211" spans="1:13" ht="13.8" x14ac:dyDescent="0.25">
      <c r="A211" s="237" t="s">
        <v>58</v>
      </c>
      <c r="B211" s="237"/>
      <c r="C211" s="175"/>
      <c r="D211" s="175"/>
      <c r="E211" s="237" t="s">
        <v>59</v>
      </c>
      <c r="F211" s="175">
        <f>IFERROR(VLOOKUP(E211,Data!$G$23:$H$196,2,FALSE),0)</f>
        <v>12611.81910495</v>
      </c>
      <c r="G211" s="275">
        <f>IF(IFERROR(VLOOKUP(E211,Data!$O$23:$P$196,2,FALSE),0)=0,0,(F211-IFERROR(VLOOKUP(E211,Data!$O$23:$P$196,2,FALSE),0))/ABS(IFERROR(VLOOKUP(E211,Data!$O$23:$P$196,2,FALSE),0)))</f>
        <v>4.3090170099660187E-2</v>
      </c>
      <c r="H211" s="175">
        <f>VLOOKUP(E211,Data!$B$23:$E$400,3,FALSE)</f>
        <v>12908.477512449999</v>
      </c>
      <c r="I211" s="317">
        <f>VLOOKUP(E211,Data!$B$23:$E$400,2,FALSE)</f>
        <v>44266</v>
      </c>
      <c r="J211" s="152"/>
      <c r="M211" s="152"/>
    </row>
    <row r="212" spans="1:13" ht="13.8" x14ac:dyDescent="0.25">
      <c r="A212" s="237" t="s">
        <v>162</v>
      </c>
      <c r="B212" s="237"/>
      <c r="C212" s="175"/>
      <c r="D212" s="175"/>
      <c r="E212" s="237" t="s">
        <v>60</v>
      </c>
      <c r="F212" s="175">
        <f>IFERROR(VLOOKUP(E212,Data!$G$23:$H$196,2,FALSE),0)</f>
        <v>70973.244385889993</v>
      </c>
      <c r="G212" s="275">
        <f>IF(IFERROR(VLOOKUP(E212,Data!$O$23:$P$196,2,FALSE),0)=0,0,(F212-IFERROR(VLOOKUP(E212,Data!$O$23:$P$196,2,FALSE),0))/ABS(IFERROR(VLOOKUP(E212,Data!$O$23:$P$196,2,FALSE),0)))</f>
        <v>5.5345237811721792E-2</v>
      </c>
      <c r="H212" s="175">
        <f>VLOOKUP(E212,Data!$B$23:$E$400,3,FALSE)</f>
        <v>77308.45</v>
      </c>
      <c r="I212" s="317">
        <f>VLOOKUP(E212,Data!$B$23:$E$400,2,FALSE)</f>
        <v>39590</v>
      </c>
      <c r="J212" s="152"/>
      <c r="M212" s="152"/>
    </row>
    <row r="213" spans="1:13" ht="13.8" x14ac:dyDescent="0.25">
      <c r="A213" s="237" t="s">
        <v>61</v>
      </c>
      <c r="B213" s="237"/>
      <c r="C213" s="175"/>
      <c r="D213" s="175"/>
      <c r="E213" s="237" t="s">
        <v>62</v>
      </c>
      <c r="F213" s="175">
        <f>IFERROR(VLOOKUP(E213,Data!$G$23:$H$196,2,FALSE),0)</f>
        <v>0</v>
      </c>
      <c r="G213" s="275">
        <f>IF(IFERROR(VLOOKUP(E213,Data!$O$23:$P$196,2,FALSE),0)=0,0,(F213-IFERROR(VLOOKUP(E213,Data!$O$23:$P$196,2,FALSE),0))/ABS(IFERROR(VLOOKUP(E213,Data!$O$23:$P$196,2,FALSE),0)))</f>
        <v>0</v>
      </c>
      <c r="H213" s="175">
        <f>VLOOKUP(E213,Data!$B$23:$E$400,3,FALSE)</f>
        <v>6662.4654347699998</v>
      </c>
      <c r="I213" s="317">
        <f>VLOOKUP(E213,Data!$B$23:$E$400,2,FALSE)</f>
        <v>44039</v>
      </c>
      <c r="J213" s="152"/>
      <c r="M213" s="152"/>
    </row>
    <row r="214" spans="1:13" ht="13.8" x14ac:dyDescent="0.25">
      <c r="A214" s="237" t="s">
        <v>63</v>
      </c>
      <c r="B214" s="237"/>
      <c r="C214" s="175"/>
      <c r="D214" s="175"/>
      <c r="E214" s="237" t="s">
        <v>64</v>
      </c>
      <c r="F214" s="175">
        <f>IFERROR(VLOOKUP(E214,Data!$G$23:$H$196,2,FALSE),0)</f>
        <v>95457.109409390003</v>
      </c>
      <c r="G214" s="275">
        <f>IF(IFERROR(VLOOKUP(E214,Data!$O$23:$P$196,2,FALSE),0)=0,0,(F214-IFERROR(VLOOKUP(E214,Data!$O$23:$P$196,2,FALSE),0))/ABS(IFERROR(VLOOKUP(E214,Data!$O$23:$P$196,2,FALSE),0)))</f>
        <v>2.5062910475037298E-2</v>
      </c>
      <c r="H214" s="175">
        <f>VLOOKUP(E214,Data!$B$23:$E$400,3,FALSE)</f>
        <v>96001.372690050004</v>
      </c>
      <c r="I214" s="317">
        <f>VLOOKUP(E214,Data!$B$23:$E$400,2,FALSE)</f>
        <v>44537</v>
      </c>
      <c r="J214" s="152"/>
      <c r="M214" s="152"/>
    </row>
    <row r="215" spans="1:13" ht="13.8" x14ac:dyDescent="0.25">
      <c r="A215" s="237" t="s">
        <v>65</v>
      </c>
      <c r="B215" s="237"/>
      <c r="C215" s="175"/>
      <c r="D215" s="175"/>
      <c r="E215" s="237" t="s">
        <v>66</v>
      </c>
      <c r="F215" s="175">
        <f>IFERROR(VLOOKUP(E215,Data!$G$23:$H$196,2,FALSE),0)</f>
        <v>14799.07681411</v>
      </c>
      <c r="G215" s="275">
        <f>IF(IFERROR(VLOOKUP(E215,Data!$O$23:$P$196,2,FALSE),0)=0,0,(F215-IFERROR(VLOOKUP(E215,Data!$O$23:$P$196,2,FALSE),0))/ABS(IFERROR(VLOOKUP(E215,Data!$O$23:$P$196,2,FALSE),0)))</f>
        <v>8.8871601087452748E-2</v>
      </c>
      <c r="H215" s="175">
        <f>VLOOKUP(E215,Data!$B$23:$E$400,3,FALSE)</f>
        <v>18847.577311370002</v>
      </c>
      <c r="I215" s="317">
        <f>VLOOKUP(E215,Data!$B$23:$E$400,2,FALSE)</f>
        <v>43165</v>
      </c>
      <c r="J215" s="152"/>
      <c r="M215" s="152"/>
    </row>
    <row r="216" spans="1:13" ht="13.8" x14ac:dyDescent="0.25">
      <c r="A216" s="237" t="s">
        <v>67</v>
      </c>
      <c r="B216" s="237"/>
      <c r="C216" s="175"/>
      <c r="D216" s="175"/>
      <c r="E216" s="237" t="s">
        <v>68</v>
      </c>
      <c r="F216" s="175">
        <f>IFERROR(VLOOKUP(E216,Data!$G$23:$H$196,2,FALSE),0)</f>
        <v>92736.874547159998</v>
      </c>
      <c r="G216" s="275">
        <f>IF(IFERROR(VLOOKUP(E216,Data!$O$23:$P$196,2,FALSE),0)=0,0,(F216-IFERROR(VLOOKUP(E216,Data!$O$23:$P$196,2,FALSE),0))/ABS(IFERROR(VLOOKUP(E216,Data!$O$23:$P$196,2,FALSE),0)))</f>
        <v>4.1812772892139409E-2</v>
      </c>
      <c r="H216" s="175">
        <f>VLOOKUP(E216,Data!$B$23:$E$400,3,FALSE)</f>
        <v>92816.837468090001</v>
      </c>
      <c r="I216" s="317">
        <f>VLOOKUP(E216,Data!$B$23:$E$400,2,FALSE)</f>
        <v>44560</v>
      </c>
      <c r="J216" s="152"/>
      <c r="M216" s="152"/>
    </row>
    <row r="217" spans="1:13" ht="13.8" x14ac:dyDescent="0.25">
      <c r="A217" s="237"/>
      <c r="B217" s="237"/>
      <c r="C217" s="175"/>
      <c r="D217" s="175"/>
      <c r="E217" s="237"/>
      <c r="F217" s="175"/>
      <c r="G217" s="175"/>
      <c r="H217" s="175"/>
      <c r="I217" s="317"/>
    </row>
    <row r="218" spans="1:13" ht="13.8" x14ac:dyDescent="0.25">
      <c r="A218" s="316" t="s">
        <v>69</v>
      </c>
      <c r="B218" s="316"/>
      <c r="C218" s="316"/>
      <c r="D218" s="316"/>
      <c r="E218" s="316"/>
      <c r="F218" s="316"/>
      <c r="G218" s="316"/>
      <c r="H218" s="316"/>
      <c r="I218" s="316"/>
    </row>
    <row r="219" spans="1:13" s="155" customFormat="1" ht="13.8" x14ac:dyDescent="0.25">
      <c r="A219" s="293" t="s">
        <v>510</v>
      </c>
      <c r="B219" s="293"/>
      <c r="C219" s="176"/>
      <c r="D219" s="176"/>
      <c r="E219" s="293" t="s">
        <v>511</v>
      </c>
      <c r="F219" s="176">
        <f>IFERROR(VLOOKUP(E219,Data!$G$23:$H$196,2,FALSE),0)</f>
        <v>23015.678972850001</v>
      </c>
      <c r="G219" s="318">
        <f>IF(IFERROR(VLOOKUP(E219,Data!$O$23:$P$196,2,FALSE),0)=0,0,(F219-IFERROR(VLOOKUP(E219,Data!$O$23:$P$196,2,FALSE),0))/ABS(IFERROR(VLOOKUP(E219,Data!$O$23:$P$196,2,FALSE),0)))</f>
        <v>4.0126890399957177E-2</v>
      </c>
      <c r="H219" s="176">
        <f>VLOOKUP(E219,Data!$B$23:$E$400,3,FALSE)</f>
        <v>26905.444889729999</v>
      </c>
      <c r="I219" s="319">
        <f>VLOOKUP(E219,Data!$B$23:$E$400,2,FALSE)</f>
        <v>44475</v>
      </c>
      <c r="K219" s="168"/>
      <c r="L219" s="168"/>
    </row>
    <row r="220" spans="1:13" ht="13.8" x14ac:dyDescent="0.25">
      <c r="A220" s="237" t="s">
        <v>71</v>
      </c>
      <c r="B220" s="237"/>
      <c r="C220" s="175"/>
      <c r="D220" s="175"/>
      <c r="E220" s="237" t="s">
        <v>512</v>
      </c>
      <c r="F220" s="175">
        <f>IFERROR(VLOOKUP(E220,Data!$G$23:$H$196,2,FALSE),0)</f>
        <v>50982.810943620003</v>
      </c>
      <c r="G220" s="275">
        <f>IF(IFERROR(VLOOKUP(E220,Data!$O$23:$P$196,2,FALSE),0)=0,0,(F220-IFERROR(VLOOKUP(E220,Data!$O$23:$P$196,2,FALSE),0))/ABS(IFERROR(VLOOKUP(E220,Data!$O$23:$P$196,2,FALSE),0)))</f>
        <v>5.3425801077617956E-2</v>
      </c>
      <c r="H220" s="176">
        <f>VLOOKUP(E220,Data!$B$23:$E$400,3,FALSE)</f>
        <v>51940.636278600003</v>
      </c>
      <c r="I220" s="354">
        <f>VLOOKUP(E220,Data!$B$23:$E$400,2,FALSE)</f>
        <v>44326</v>
      </c>
    </row>
    <row r="221" spans="1:13" ht="13.8" x14ac:dyDescent="0.25">
      <c r="A221" s="237" t="s">
        <v>73</v>
      </c>
      <c r="B221" s="237"/>
      <c r="C221" s="175"/>
      <c r="D221" s="175"/>
      <c r="E221" s="237" t="s">
        <v>513</v>
      </c>
      <c r="F221" s="175">
        <f>IFERROR(VLOOKUP(E221,Data!$G$23:$H$196,2,FALSE),0)</f>
        <v>38948.53285969</v>
      </c>
      <c r="G221" s="275">
        <f>IF(IFERROR(VLOOKUP(E221,Data!$O$23:$P$196,2,FALSE),0)=0,0,(F221-IFERROR(VLOOKUP(E221,Data!$O$23:$P$196,2,FALSE),0))/ABS(IFERROR(VLOOKUP(E221,Data!$O$23:$P$196,2,FALSE),0)))</f>
        <v>5.4756204854721713E-2</v>
      </c>
      <c r="H221" s="176">
        <f>VLOOKUP(E221,Data!$B$23:$E$400,3,FALSE)</f>
        <v>39509.158679679997</v>
      </c>
      <c r="I221" s="354">
        <f>VLOOKUP(E221,Data!$B$23:$E$400,2,FALSE)</f>
        <v>44426</v>
      </c>
    </row>
    <row r="222" spans="1:13" ht="13.8" x14ac:dyDescent="0.25">
      <c r="A222" s="237" t="s">
        <v>514</v>
      </c>
      <c r="B222" s="237"/>
      <c r="C222" s="175"/>
      <c r="D222" s="175"/>
      <c r="E222" s="237" t="s">
        <v>515</v>
      </c>
      <c r="F222" s="175">
        <f>IFERROR(VLOOKUP(E222,Data!$G$23:$H$196,2,FALSE),0)</f>
        <v>33684.106449799998</v>
      </c>
      <c r="G222" s="275">
        <f>IF(IFERROR(VLOOKUP(E222,Data!$O$23:$P$196,2,FALSE),0)=0,0,(F222-IFERROR(VLOOKUP(E222,Data!$O$23:$P$196,2,FALSE),0))/ABS(IFERROR(VLOOKUP(E222,Data!$O$23:$P$196,2,FALSE),0)))</f>
        <v>2.0504771411981412E-2</v>
      </c>
      <c r="H222" s="176">
        <f>VLOOKUP(E222,Data!$B$23:$E$400,3,FALSE)</f>
        <v>34369.73630792</v>
      </c>
      <c r="I222" s="354">
        <f>VLOOKUP(E222,Data!$B$23:$E$400,2,FALSE)</f>
        <v>44538</v>
      </c>
    </row>
    <row r="223" spans="1:13" ht="13.8" x14ac:dyDescent="0.25">
      <c r="A223" s="237" t="s">
        <v>516</v>
      </c>
      <c r="B223" s="237"/>
      <c r="C223" s="175"/>
      <c r="D223" s="175"/>
      <c r="E223" s="237" t="s">
        <v>517</v>
      </c>
      <c r="F223" s="175">
        <f>IFERROR(VLOOKUP(E223,Data!$G$23:$H$196,2,FALSE),0)</f>
        <v>75623.652358630003</v>
      </c>
      <c r="G223" s="275">
        <f>IF(IFERROR(VLOOKUP(E223,Data!$O$23:$P$196,2,FALSE),0)=0,0,(F223-IFERROR(VLOOKUP(E223,Data!$O$23:$P$196,2,FALSE),0))/ABS(IFERROR(VLOOKUP(E223,Data!$O$23:$P$196,2,FALSE),0)))</f>
        <v>5.8175379615227139E-2</v>
      </c>
      <c r="H223" s="176">
        <f>VLOOKUP(E223,Data!$B$23:$E$400,3,FALSE)</f>
        <v>76427.890659149998</v>
      </c>
      <c r="I223" s="354">
        <f>VLOOKUP(E223,Data!$B$23:$E$400,2,FALSE)</f>
        <v>44560</v>
      </c>
    </row>
    <row r="224" spans="1:13" ht="13.8" x14ac:dyDescent="0.25">
      <c r="A224" s="237" t="s">
        <v>77</v>
      </c>
      <c r="B224" s="237"/>
      <c r="C224" s="175"/>
      <c r="D224" s="175"/>
      <c r="E224" s="237" t="s">
        <v>518</v>
      </c>
      <c r="F224" s="175">
        <f>IFERROR(VLOOKUP(E224,Data!$G$23:$H$196,2,FALSE),0)</f>
        <v>37869.302339000002</v>
      </c>
      <c r="G224" s="275">
        <f>IF(IFERROR(VLOOKUP(E224,Data!$O$23:$P$196,2,FALSE),0)=0,0,(F224-IFERROR(VLOOKUP(E224,Data!$O$23:$P$196,2,FALSE),0))/ABS(IFERROR(VLOOKUP(E224,Data!$O$23:$P$196,2,FALSE),0)))</f>
        <v>8.4127807428189899E-2</v>
      </c>
      <c r="H224" s="176">
        <f>VLOOKUP(E224,Data!$B$23:$E$400,3,FALSE)</f>
        <v>38024.188046490002</v>
      </c>
      <c r="I224" s="354">
        <f>VLOOKUP(E224,Data!$B$23:$E$400,2,FALSE)</f>
        <v>44560</v>
      </c>
    </row>
    <row r="225" spans="1:9" ht="13.8" x14ac:dyDescent="0.25">
      <c r="A225" s="237" t="s">
        <v>79</v>
      </c>
      <c r="B225" s="237"/>
      <c r="C225" s="175"/>
      <c r="D225" s="175"/>
      <c r="E225" s="237" t="s">
        <v>519</v>
      </c>
      <c r="F225" s="175">
        <f>IFERROR(VLOOKUP(E225,Data!$G$23:$H$196,2,FALSE),0)</f>
        <v>33195.693276819999</v>
      </c>
      <c r="G225" s="275">
        <f>IF(IFERROR(VLOOKUP(E225,Data!$O$23:$P$196,2,FALSE),0)=0,0,(F225-IFERROR(VLOOKUP(E225,Data!$O$23:$P$196,2,FALSE),0))/ABS(IFERROR(VLOOKUP(E225,Data!$O$23:$P$196,2,FALSE),0)))</f>
        <v>6.334116386130335E-3</v>
      </c>
      <c r="H225" s="176">
        <f>VLOOKUP(E225,Data!$B$23:$E$400,3,FALSE)</f>
        <v>49244.486816149998</v>
      </c>
      <c r="I225" s="354">
        <f>VLOOKUP(E225,Data!$B$23:$E$400,2,FALSE)</f>
        <v>44287</v>
      </c>
    </row>
    <row r="226" spans="1:9" ht="13.8" x14ac:dyDescent="0.25">
      <c r="A226" s="237" t="s">
        <v>81</v>
      </c>
      <c r="B226" s="237"/>
      <c r="C226" s="175"/>
      <c r="D226" s="175"/>
      <c r="E226" s="237" t="s">
        <v>520</v>
      </c>
      <c r="F226" s="175">
        <f>IFERROR(VLOOKUP(E226,Data!$G$23:$H$196,2,FALSE),0)</f>
        <v>7585.6792154799996</v>
      </c>
      <c r="G226" s="275">
        <f>IF(IFERROR(VLOOKUP(E226,Data!$O$23:$P$196,2,FALSE),0)=0,0,(F226-IFERROR(VLOOKUP(E226,Data!$O$23:$P$196,2,FALSE),0))/ABS(IFERROR(VLOOKUP(E226,Data!$O$23:$P$196,2,FALSE),0)))</f>
        <v>3.8899074208866478E-2</v>
      </c>
      <c r="H226" s="176">
        <f>VLOOKUP(E226,Data!$B$23:$E$400,3,FALSE)</f>
        <v>7730.3560331999997</v>
      </c>
      <c r="I226" s="354">
        <f>VLOOKUP(E226,Data!$B$23:$E$400,2,FALSE)</f>
        <v>44560</v>
      </c>
    </row>
    <row r="227" spans="1:9" ht="13.8" x14ac:dyDescent="0.25">
      <c r="A227" s="237" t="s">
        <v>83</v>
      </c>
      <c r="B227" s="237"/>
      <c r="C227" s="175"/>
      <c r="D227" s="175"/>
      <c r="E227" s="237" t="s">
        <v>521</v>
      </c>
      <c r="F227" s="175">
        <f>IFERROR(VLOOKUP(E227,Data!$G$23:$H$196,2,FALSE),0)</f>
        <v>5410.4964561999996</v>
      </c>
      <c r="G227" s="275">
        <f>IF(IFERROR(VLOOKUP(E227,Data!$O$23:$P$196,2,FALSE),0)=0,0,(F227-IFERROR(VLOOKUP(E227,Data!$O$23:$P$196,2,FALSE),0))/ABS(IFERROR(VLOOKUP(E227,Data!$O$23:$P$196,2,FALSE),0)))</f>
        <v>1.987512552573548E-3</v>
      </c>
      <c r="H227" s="176">
        <f>VLOOKUP(E227,Data!$B$23:$E$400,3,FALSE)</f>
        <v>5917.4404180399997</v>
      </c>
      <c r="I227" s="354">
        <f>VLOOKUP(E227,Data!$B$23:$E$400,2,FALSE)</f>
        <v>44467</v>
      </c>
    </row>
    <row r="228" spans="1:9" ht="13.8" x14ac:dyDescent="0.25">
      <c r="A228" s="237"/>
      <c r="B228" s="237"/>
      <c r="C228" s="175"/>
      <c r="D228" s="175"/>
      <c r="E228" s="237"/>
      <c r="F228" s="175"/>
      <c r="G228" s="175"/>
      <c r="H228" s="175"/>
      <c r="I228" s="317"/>
    </row>
    <row r="229" spans="1:9" ht="13.8" x14ac:dyDescent="0.25">
      <c r="A229" s="316" t="s">
        <v>85</v>
      </c>
      <c r="B229" s="316"/>
      <c r="C229" s="316"/>
      <c r="D229" s="316"/>
      <c r="E229" s="316"/>
      <c r="F229" s="316"/>
      <c r="G229" s="316"/>
      <c r="H229" s="316"/>
      <c r="I229" s="316"/>
    </row>
    <row r="230" spans="1:9" ht="13.8" x14ac:dyDescent="0.25">
      <c r="A230" s="237" t="s">
        <v>508</v>
      </c>
      <c r="B230" s="237"/>
      <c r="C230" s="175"/>
      <c r="D230" s="175"/>
      <c r="E230" s="237" t="s">
        <v>245</v>
      </c>
      <c r="F230" s="175">
        <f>IFERROR(VLOOKUP(E230,Data!$G$23:$H$196,2,FALSE),0)</f>
        <v>12982.64960397</v>
      </c>
      <c r="G230" s="275">
        <f>IF(IFERROR(VLOOKUP(E230,Data!$O$23:$P$196,2,FALSE),0)=0,0,(F230-IFERROR(VLOOKUP(E230,Data!$O$23:$P$196,2,FALSE),0))/ABS(IFERROR(VLOOKUP(E230,Data!$O$23:$P$196,2,FALSE),0)))</f>
        <v>3.9943477077593222E-2</v>
      </c>
      <c r="H230" s="175">
        <f>VLOOKUP(E230,Data!$B$23:$E$400,3,FALSE)</f>
        <v>13118.115906380001</v>
      </c>
      <c r="I230" s="317">
        <f>VLOOKUP(E230,Data!$B$23:$E$400,2,FALSE)</f>
        <v>44266</v>
      </c>
    </row>
    <row r="231" spans="1:9" ht="13.8" x14ac:dyDescent="0.25">
      <c r="A231" s="237" t="s">
        <v>87</v>
      </c>
      <c r="B231" s="237"/>
      <c r="C231" s="175"/>
      <c r="D231" s="175"/>
      <c r="E231" s="237" t="s">
        <v>88</v>
      </c>
      <c r="F231" s="175">
        <f>IFERROR(VLOOKUP(E231,Data!$G$23:$H$196,2,FALSE),0)</f>
        <v>4829.9532087199996</v>
      </c>
      <c r="G231" s="275">
        <f>IF(IFERROR(VLOOKUP(E231,Data!$O$23:$P$196,2,FALSE),0)=0,0,(F231-IFERROR(VLOOKUP(E231,Data!$O$23:$P$196,2,FALSE),0))/ABS(IFERROR(VLOOKUP(E231,Data!$O$23:$P$196,2,FALSE),0)))</f>
        <v>5.0803316153153692E-2</v>
      </c>
      <c r="H231" s="175">
        <f>VLOOKUP(E231,Data!$B$23:$E$400,3,FALSE)</f>
        <v>4838.9189617900001</v>
      </c>
      <c r="I231" s="317">
        <f>VLOOKUP(E231,Data!$B$23:$E$400,2,FALSE)</f>
        <v>44560</v>
      </c>
    </row>
    <row r="232" spans="1:9" ht="13.8" x14ac:dyDescent="0.25">
      <c r="A232" s="237" t="s">
        <v>166</v>
      </c>
      <c r="B232" s="237"/>
      <c r="C232" s="175"/>
      <c r="D232" s="175"/>
      <c r="E232" s="237" t="s">
        <v>509</v>
      </c>
      <c r="F232" s="175">
        <f>IFERROR(VLOOKUP(E232,Data!$G$23:$H$196,2,FALSE),0)</f>
        <v>393.88612388000001</v>
      </c>
      <c r="G232" s="275">
        <f>IF(IFERROR(VLOOKUP(E232,Data!$O$23:$P$196,2,FALSE),0)=0,0,(F232-IFERROR(VLOOKUP(E232,Data!$O$23:$P$196,2,FALSE),0))/ABS(IFERROR(VLOOKUP(E232,Data!$O$23:$P$196,2,FALSE),0)))</f>
        <v>5.5399416728684953E-2</v>
      </c>
      <c r="H232" s="175">
        <f>VLOOKUP(E232,Data!$B$23:$E$400,3,FALSE)</f>
        <v>393.88612388000001</v>
      </c>
      <c r="I232" s="317">
        <f>VLOOKUP(E232,Data!$B$23:$E$400,2,FALSE)</f>
        <v>44561</v>
      </c>
    </row>
    <row r="233" spans="1:9" ht="13.8" x14ac:dyDescent="0.25">
      <c r="A233" s="237" t="s">
        <v>89</v>
      </c>
      <c r="B233" s="237"/>
      <c r="C233" s="175"/>
      <c r="D233" s="175"/>
      <c r="E233" s="237" t="s">
        <v>90</v>
      </c>
      <c r="F233" s="175">
        <f>IFERROR(VLOOKUP(E233,Data!$G$23:$H$196,2,FALSE),0)</f>
        <v>342.98573773999999</v>
      </c>
      <c r="G233" s="275">
        <f>IF(IFERROR(VLOOKUP(E233,Data!$O$23:$P$196,2,FALSE),0)=0,0,(F233-IFERROR(VLOOKUP(E233,Data!$O$23:$P$196,2,FALSE),0))/ABS(IFERROR(VLOOKUP(E233,Data!$O$23:$P$196,2,FALSE),0)))</f>
        <v>6.0438594374756571E-2</v>
      </c>
      <c r="H233" s="175">
        <f>VLOOKUP(E233,Data!$B$23:$E$400,3,FALSE)</f>
        <v>694.66658584000004</v>
      </c>
      <c r="I233" s="317">
        <f>VLOOKUP(E233,Data!$B$23:$E$400,2,FALSE)</f>
        <v>43098</v>
      </c>
    </row>
    <row r="234" spans="1:9" ht="13.8" x14ac:dyDescent="0.25">
      <c r="A234" s="237" t="s">
        <v>91</v>
      </c>
      <c r="B234" s="237"/>
      <c r="C234" s="175"/>
      <c r="D234" s="175"/>
      <c r="E234" s="237" t="s">
        <v>92</v>
      </c>
      <c r="F234" s="175">
        <f>IFERROR(VLOOKUP(E234,Data!$G$23:$H$196,2,FALSE),0)</f>
        <v>254.08877104999999</v>
      </c>
      <c r="G234" s="275">
        <f>IF(IFERROR(VLOOKUP(E234,Data!$O$23:$P$196,2,FALSE),0)=0,0,(F234-IFERROR(VLOOKUP(E234,Data!$O$23:$P$196,2,FALSE),0))/ABS(IFERROR(VLOOKUP(E234,Data!$O$23:$P$196,2,FALSE),0)))</f>
        <v>5.4124027307400104E-2</v>
      </c>
      <c r="H234" s="175">
        <f>VLOOKUP(E234,Data!$B$23:$E$400,3,FALSE)</f>
        <v>597.8558587</v>
      </c>
      <c r="I234" s="317">
        <f>VLOOKUP(E234,Data!$B$23:$E$400,2,FALSE)</f>
        <v>42305</v>
      </c>
    </row>
    <row r="235" spans="1:9" ht="13.8" x14ac:dyDescent="0.25">
      <c r="A235" s="237" t="s">
        <v>93</v>
      </c>
      <c r="B235" s="237"/>
      <c r="C235" s="175"/>
      <c r="D235" s="175"/>
      <c r="E235" s="237" t="s">
        <v>94</v>
      </c>
      <c r="F235" s="175">
        <f>IFERROR(VLOOKUP(E235,Data!$G$23:$H$196,2,FALSE),0)</f>
        <v>40698.556609189996</v>
      </c>
      <c r="G235" s="275">
        <f>IF(IFERROR(VLOOKUP(E235,Data!$O$23:$P$196,2,FALSE),0)=0,0,(F235-IFERROR(VLOOKUP(E235,Data!$O$23:$P$196,2,FALSE),0))/ABS(IFERROR(VLOOKUP(E235,Data!$O$23:$P$196,2,FALSE),0)))</f>
        <v>5.3174167520207087E-2</v>
      </c>
      <c r="H235" s="175">
        <f>VLOOKUP(E235,Data!$B$23:$E$400,3,FALSE)</f>
        <v>42495.61</v>
      </c>
      <c r="I235" s="317">
        <f>VLOOKUP(E235,Data!$B$23:$E$400,2,FALSE)</f>
        <v>39590</v>
      </c>
    </row>
    <row r="236" spans="1:9" ht="13.8" x14ac:dyDescent="0.25">
      <c r="A236" s="237" t="s">
        <v>95</v>
      </c>
      <c r="B236" s="237"/>
      <c r="C236" s="175"/>
      <c r="D236" s="175"/>
      <c r="E236" s="237" t="s">
        <v>96</v>
      </c>
      <c r="F236" s="175">
        <f>IFERROR(VLOOKUP(E236,Data!$G$23:$H$196,2,FALSE),0)</f>
        <v>430.25321919999999</v>
      </c>
      <c r="G236" s="275">
        <f>IF(IFERROR(VLOOKUP(E236,Data!$O$23:$P$196,2,FALSE),0)=0,0,(F236-IFERROR(VLOOKUP(E236,Data!$O$23:$P$196,2,FALSE),0))/ABS(IFERROR(VLOOKUP(E236,Data!$O$23:$P$196,2,FALSE),0)))</f>
        <v>6.2091618017766539E-2</v>
      </c>
      <c r="H236" s="175">
        <f>VLOOKUP(E236,Data!$B$23:$E$400,3,FALSE)</f>
        <v>431.53309997000002</v>
      </c>
      <c r="I236" s="317">
        <f>VLOOKUP(E236,Data!$B$23:$E$400,2,FALSE)</f>
        <v>44560</v>
      </c>
    </row>
    <row r="237" spans="1:9" ht="13.8" x14ac:dyDescent="0.25">
      <c r="A237" s="237" t="s">
        <v>97</v>
      </c>
      <c r="B237" s="237"/>
      <c r="C237" s="175"/>
      <c r="D237" s="175"/>
      <c r="E237" s="237" t="s">
        <v>98</v>
      </c>
      <c r="F237" s="175">
        <f>IFERROR(VLOOKUP(E237,Data!$G$23:$H$196,2,FALSE),0)</f>
        <v>937.72245267000005</v>
      </c>
      <c r="G237" s="275">
        <f>IF(IFERROR(VLOOKUP(E237,Data!$O$23:$P$196,2,FALSE),0)=0,0,(F237-IFERROR(VLOOKUP(E237,Data!$O$23:$P$196,2,FALSE),0))/ABS(IFERROR(VLOOKUP(E237,Data!$O$23:$P$196,2,FALSE),0)))</f>
        <v>3.9261479180571643E-2</v>
      </c>
      <c r="H237" s="175">
        <f>VLOOKUP(E237,Data!$B$23:$E$400,3,FALSE)</f>
        <v>957.07193463999999</v>
      </c>
      <c r="I237" s="317">
        <f>VLOOKUP(E237,Data!$B$23:$E$400,2,FALSE)</f>
        <v>44257</v>
      </c>
    </row>
    <row r="238" spans="1:9" ht="13.8" x14ac:dyDescent="0.25">
      <c r="A238" s="237"/>
      <c r="B238" s="237"/>
      <c r="C238" s="175"/>
      <c r="D238" s="175"/>
      <c r="E238" s="237"/>
      <c r="F238" s="175"/>
      <c r="G238" s="175"/>
      <c r="H238" s="175"/>
      <c r="I238" s="317"/>
    </row>
    <row r="239" spans="1:9" ht="13.8" x14ac:dyDescent="0.25">
      <c r="A239" s="316" t="s">
        <v>101</v>
      </c>
      <c r="B239" s="316"/>
      <c r="C239" s="316"/>
      <c r="D239" s="316"/>
      <c r="E239" s="316"/>
      <c r="F239" s="316"/>
      <c r="G239" s="316"/>
      <c r="H239" s="316"/>
      <c r="I239" s="316"/>
    </row>
    <row r="240" spans="1:9" ht="13.8" x14ac:dyDescent="0.25">
      <c r="A240" s="237" t="s">
        <v>104</v>
      </c>
      <c r="B240" s="237"/>
      <c r="C240" s="175"/>
      <c r="D240" s="175"/>
      <c r="E240" s="237" t="s">
        <v>105</v>
      </c>
      <c r="F240" s="175">
        <f>IFERROR(VLOOKUP(E240,Data!$G$23:$H$196,2,FALSE),0)</f>
        <v>1312.18012456</v>
      </c>
      <c r="G240" s="275">
        <f>IF(IFERROR(VLOOKUP(E240,Data!$O$23:$P$196,2,FALSE),0)=0,0,(F240-IFERROR(VLOOKUP(E240,Data!$O$23:$P$196,2,FALSE),0))/ABS(IFERROR(VLOOKUP(E240,Data!$O$23:$P$196,2,FALSE),0)))</f>
        <v>3.890611049051905E-2</v>
      </c>
      <c r="H240" s="175">
        <f>VLOOKUP(E240,Data!$B$23:$E$273,3,FALSE)</f>
        <v>5041.9399999999996</v>
      </c>
      <c r="I240" s="317">
        <f>VLOOKUP(E240,Data!$B$23:$E$273,2,FALSE)</f>
        <v>39400</v>
      </c>
    </row>
    <row r="241" spans="1:9" ht="13.8" x14ac:dyDescent="0.25">
      <c r="A241" s="237"/>
      <c r="B241" s="237"/>
      <c r="C241" s="175"/>
      <c r="D241" s="175"/>
      <c r="E241" s="237"/>
      <c r="F241" s="175"/>
      <c r="G241" s="275"/>
      <c r="H241" s="175"/>
      <c r="I241" s="317"/>
    </row>
    <row r="242" spans="1:9" ht="13.8" x14ac:dyDescent="0.25">
      <c r="A242" s="237"/>
      <c r="B242" s="237"/>
      <c r="C242" s="175"/>
      <c r="D242" s="175"/>
      <c r="E242" s="237"/>
      <c r="F242" s="175"/>
      <c r="G242" s="175"/>
      <c r="H242" s="175"/>
      <c r="I242" s="317"/>
    </row>
    <row r="245" spans="1:9" ht="13.8" x14ac:dyDescent="0.25">
      <c r="A245" s="237"/>
      <c r="B245" s="237"/>
      <c r="C245" s="175"/>
      <c r="D245" s="175"/>
      <c r="E245" s="237"/>
      <c r="F245" s="175"/>
      <c r="G245" s="275"/>
      <c r="H245" s="175"/>
      <c r="I245" s="317"/>
    </row>
    <row r="247" spans="1:9" ht="14.4" thickBot="1" x14ac:dyDescent="0.3">
      <c r="A247" s="278"/>
      <c r="B247" s="278"/>
      <c r="C247" s="174"/>
      <c r="D247" s="174"/>
      <c r="E247" s="174"/>
      <c r="F247" s="320"/>
      <c r="G247" s="278"/>
      <c r="H247" s="278"/>
      <c r="I247" s="278"/>
    </row>
    <row r="248" spans="1:9" ht="13.8" thickTop="1" x14ac:dyDescent="0.25">
      <c r="A248" s="345" t="s">
        <v>499</v>
      </c>
      <c r="D248" s="2"/>
      <c r="E248" s="2"/>
      <c r="F248" s="12"/>
    </row>
    <row r="249" spans="1:9" x14ac:dyDescent="0.25">
      <c r="A249" s="59" t="s">
        <v>106</v>
      </c>
      <c r="D249" s="2"/>
      <c r="E249" s="2"/>
      <c r="F249" s="12"/>
    </row>
    <row r="251" spans="1:9" ht="13.8" thickBot="1" x14ac:dyDescent="0.3"/>
    <row r="252" spans="1:9" ht="25.2" thickBot="1" x14ac:dyDescent="0.45">
      <c r="A252" s="363" t="s">
        <v>502</v>
      </c>
      <c r="B252" s="364"/>
      <c r="C252" s="365"/>
      <c r="D252" s="361"/>
      <c r="E252" s="361"/>
      <c r="F252" s="362"/>
      <c r="G252" s="356"/>
    </row>
    <row r="253" spans="1:9" x14ac:dyDescent="0.25">
      <c r="A253" s="360"/>
      <c r="B253" s="360"/>
      <c r="C253" s="360"/>
      <c r="D253" s="356"/>
      <c r="E253" s="356"/>
      <c r="F253" s="356"/>
      <c r="G253" s="356"/>
    </row>
    <row r="254" spans="1:9" ht="34.799999999999997" x14ac:dyDescent="0.55000000000000004">
      <c r="A254" s="359" t="s">
        <v>503</v>
      </c>
      <c r="B254" s="358"/>
      <c r="C254" s="358"/>
      <c r="D254" s="358"/>
      <c r="E254" s="358"/>
      <c r="F254" s="358"/>
      <c r="G254" s="357"/>
    </row>
    <row r="255" spans="1:9" x14ac:dyDescent="0.25">
      <c r="A255" s="357"/>
      <c r="B255" s="357"/>
      <c r="C255" s="357"/>
      <c r="D255" s="357"/>
      <c r="E255" s="357"/>
      <c r="F255" s="357"/>
      <c r="G255" s="357"/>
    </row>
    <row r="256" spans="1:9" ht="34.799999999999997" x14ac:dyDescent="0.55000000000000004">
      <c r="A256" s="359" t="s">
        <v>504</v>
      </c>
      <c r="B256" s="358"/>
      <c r="C256" s="358"/>
      <c r="D256" s="358"/>
      <c r="E256" s="358"/>
      <c r="F256" s="358"/>
      <c r="G256" s="357"/>
    </row>
    <row r="257" spans="1:12" x14ac:dyDescent="0.25">
      <c r="A257" s="357"/>
      <c r="B257" s="357"/>
      <c r="C257" s="357"/>
      <c r="D257" s="356"/>
      <c r="E257" s="356"/>
      <c r="F257" s="356"/>
      <c r="G257" s="357"/>
    </row>
    <row r="258" spans="1:12" x14ac:dyDescent="0.25">
      <c r="A258" s="395" t="s">
        <v>505</v>
      </c>
      <c r="B258" s="395"/>
      <c r="C258" s="395"/>
      <c r="D258" s="356"/>
      <c r="E258" s="356"/>
      <c r="F258" s="356"/>
      <c r="G258" s="357"/>
    </row>
    <row r="259" spans="1:12" x14ac:dyDescent="0.25">
      <c r="A259" s="395"/>
      <c r="B259" s="395"/>
      <c r="C259" s="395"/>
      <c r="D259" s="357"/>
      <c r="E259" s="357"/>
      <c r="F259" s="357"/>
      <c r="G259" s="357"/>
    </row>
    <row r="263" spans="1:12" s="236" customFormat="1" x14ac:dyDescent="0.25">
      <c r="K263" s="251"/>
      <c r="L263" s="251"/>
    </row>
    <row r="264" spans="1:12" ht="13.8" x14ac:dyDescent="0.25">
      <c r="A264" s="237"/>
      <c r="B264" s="237"/>
      <c r="C264" s="237"/>
      <c r="D264" s="237"/>
      <c r="E264" s="237"/>
      <c r="F264" s="237"/>
      <c r="G264" s="237"/>
      <c r="H264" s="237"/>
      <c r="I264" s="237"/>
    </row>
    <row r="265" spans="1:12" ht="13.8" x14ac:dyDescent="0.25">
      <c r="A265" s="237"/>
      <c r="B265" s="237"/>
      <c r="C265" s="237"/>
      <c r="D265" s="237"/>
      <c r="E265" s="237"/>
      <c r="F265" s="237"/>
      <c r="G265" s="237"/>
      <c r="H265" s="237"/>
      <c r="I265" s="237"/>
    </row>
    <row r="266" spans="1:12" ht="13.8" x14ac:dyDescent="0.25">
      <c r="A266" s="237"/>
      <c r="B266" s="237"/>
      <c r="C266" s="237"/>
      <c r="D266" s="237"/>
      <c r="E266" s="237"/>
      <c r="F266" s="237"/>
      <c r="G266" s="237"/>
      <c r="H266" s="237"/>
      <c r="I266" s="237"/>
    </row>
    <row r="267" spans="1:12" ht="13.8" x14ac:dyDescent="0.25">
      <c r="A267" s="237"/>
      <c r="B267" s="237"/>
      <c r="C267" s="237"/>
      <c r="D267" s="237"/>
      <c r="E267" s="237"/>
      <c r="F267" s="237"/>
      <c r="G267" s="237"/>
      <c r="H267" s="237"/>
      <c r="I267" s="237"/>
    </row>
    <row r="268" spans="1:12" ht="13.8" x14ac:dyDescent="0.25">
      <c r="A268" s="237"/>
      <c r="B268" s="237"/>
      <c r="C268" s="237"/>
      <c r="D268" s="237"/>
      <c r="E268" s="237"/>
      <c r="F268" s="237"/>
      <c r="G268" s="237"/>
      <c r="H268" s="237"/>
      <c r="I268" s="237"/>
    </row>
    <row r="269" spans="1:12" s="236" customFormat="1" ht="4.5" customHeight="1" x14ac:dyDescent="0.25">
      <c r="A269" s="237"/>
      <c r="B269" s="237"/>
      <c r="C269" s="237"/>
      <c r="D269" s="237"/>
      <c r="E269" s="237"/>
      <c r="F269" s="237"/>
      <c r="G269" s="237"/>
      <c r="H269" s="237"/>
      <c r="I269" s="237"/>
      <c r="K269" s="251"/>
      <c r="L269" s="251"/>
    </row>
    <row r="270" spans="1:12" ht="13.8" x14ac:dyDescent="0.25">
      <c r="B270" s="237"/>
      <c r="C270" s="237"/>
      <c r="D270" s="237"/>
      <c r="E270" s="237"/>
      <c r="F270" s="237"/>
      <c r="G270" s="237"/>
      <c r="H270" s="237"/>
      <c r="I270" s="237"/>
    </row>
    <row r="271" spans="1:12" ht="8.25" customHeight="1" x14ac:dyDescent="0.25">
      <c r="A271" s="384" t="str">
        <f>"Market Profile - "&amp; TEXT($H$3,"MMM")&amp;" "&amp;TEXT($H$3,"YYYY")</f>
        <v>Market Profile - Dec 2021</v>
      </c>
      <c r="B271" s="237"/>
      <c r="C271" s="237"/>
      <c r="D271" s="237"/>
      <c r="E271" s="388" t="s">
        <v>181</v>
      </c>
      <c r="F271" s="388"/>
      <c r="G271" s="388"/>
      <c r="H271" s="388"/>
      <c r="I271" s="388"/>
    </row>
    <row r="272" spans="1:12" ht="10.5" customHeight="1" thickBot="1" x14ac:dyDescent="0.3">
      <c r="A272" s="385"/>
      <c r="B272" s="267"/>
      <c r="C272" s="267"/>
      <c r="D272" s="267"/>
      <c r="E272" s="389"/>
      <c r="F272" s="389"/>
      <c r="G272" s="389"/>
      <c r="H272" s="389"/>
      <c r="I272" s="389"/>
    </row>
    <row r="273" spans="1:10" ht="38.25" customHeight="1" thickBot="1" x14ac:dyDescent="0.3">
      <c r="A273" s="314"/>
      <c r="B273" s="314"/>
      <c r="C273" s="321" t="str">
        <f>TEXT($H$3,"MMM")&amp;" "&amp;TEXT($H$3,"YYYY")</f>
        <v>Dec 2021</v>
      </c>
      <c r="D273" s="314"/>
      <c r="E273" s="321" t="str">
        <f>TEXT(DATE(2000,TEXT(H3,"M")-1,1),"mmm")&amp; " "&amp; TEXT(H3,"YYYY")</f>
        <v>Nov 2021</v>
      </c>
      <c r="F273" s="172" t="s">
        <v>170</v>
      </c>
      <c r="G273" s="314"/>
      <c r="H273" s="322" t="str">
        <f>TEXT($H$3,"MMM")&amp;" "&amp;TEXT($H$3,"YYYY")-1</f>
        <v>Dec 2020</v>
      </c>
      <c r="I273" s="322" t="s">
        <v>171</v>
      </c>
    </row>
    <row r="274" spans="1:10" ht="13.8" x14ac:dyDescent="0.25">
      <c r="A274" s="316" t="s">
        <v>107</v>
      </c>
      <c r="B274" s="316"/>
      <c r="C274" s="316"/>
      <c r="D274" s="316"/>
      <c r="E274" s="316"/>
      <c r="F274" s="316"/>
      <c r="G274" s="316"/>
      <c r="H274" s="316"/>
      <c r="I274" s="323"/>
    </row>
    <row r="275" spans="1:10" x14ac:dyDescent="0.25">
      <c r="A275" s="134" t="s">
        <v>14</v>
      </c>
      <c r="B275" s="236"/>
      <c r="C275" s="236"/>
      <c r="D275" s="236"/>
      <c r="E275" s="236"/>
      <c r="F275" s="135"/>
      <c r="G275" s="236"/>
      <c r="H275" s="236"/>
      <c r="I275" s="171"/>
    </row>
    <row r="276" spans="1:10" x14ac:dyDescent="0.25">
      <c r="A276" s="236" t="s">
        <v>428</v>
      </c>
      <c r="B276" s="236"/>
      <c r="C276" s="3">
        <f>SUMIFS(Data!$AC:$AC,Data!$Z:$Z,MarketProfile!A276,Data!$AE:$AE,"1")</f>
        <v>1247</v>
      </c>
      <c r="D276" s="375">
        <f>SUMIFS(Data!$AQ:$AQ,Data!$AN:$AN,MarketProfile!A276,Data!$AS:$AS,"1")</f>
        <v>3654</v>
      </c>
      <c r="E276" s="375"/>
      <c r="F276" s="171">
        <f>IFERROR(IF(OR(AND(D276="",C276=""),AND(D276=0,C276=0)),"",
IF(OR(D276="",D276=0),1,
IF(OR(D276&lt;&gt;"",D276&lt;&gt;0),(C276-D276)/ABS(D276)))),-1)</f>
        <v>-0.65873015873015872</v>
      </c>
      <c r="G276" s="375">
        <f>SUMIFS(Data!$BE:$BE,Data!$BB:$BB,MarketProfile!A276,Data!BG:BG,"1")</f>
        <v>1421</v>
      </c>
      <c r="H276" s="375"/>
      <c r="I276" s="171">
        <f t="shared" ref="I276:I283" si="18">IFERROR(IF(OR(AND(G276="",C276=""),AND(G276=0,C276=0)),"",
IF(OR(G276="",G276=0),1,
IF(OR(G276&lt;&gt;"",G276&lt;&gt;0),(C276-G276)/ABS(G276)))),-1)</f>
        <v>-0.12244897959183673</v>
      </c>
      <c r="J276" s="153"/>
    </row>
    <row r="277" spans="1:10" x14ac:dyDescent="0.25">
      <c r="A277" s="236" t="s">
        <v>161</v>
      </c>
      <c r="B277" s="236"/>
      <c r="C277" s="3">
        <f>SUMIFS(Data!$AC:$AC,Data!$Z:$Z,MarketProfile!A277,Data!$AE:$AE,"1")</f>
        <v>2422</v>
      </c>
      <c r="D277" s="375">
        <f>SUMIFS(Data!$AQ:$AQ,Data!$AN:$AN,MarketProfile!A277,Data!$AS:$AS,"1")</f>
        <v>3625</v>
      </c>
      <c r="E277" s="375"/>
      <c r="F277" s="171">
        <f t="shared" ref="F277:F284" si="19">IFERROR(IF(OR(AND(D277="",C277=""),AND(D277=0,C277=0)),"",
IF(OR(D277="",D277=0),1,
IF(OR(D277&lt;&gt;"",D277&lt;&gt;0),(C277-D277)/ABS(D277)))),-1)</f>
        <v>-0.33186206896551723</v>
      </c>
      <c r="G277" s="375">
        <f>SUMIFS(Data!$BE:$BE,Data!$BB:$BB,MarketProfile!A277,Data!BG:BG,"1")</f>
        <v>2150</v>
      </c>
      <c r="H277" s="375"/>
      <c r="I277" s="171">
        <f t="shared" si="18"/>
        <v>0.12651162790697673</v>
      </c>
      <c r="J277" s="153"/>
    </row>
    <row r="278" spans="1:10" x14ac:dyDescent="0.25">
      <c r="A278" s="236" t="s">
        <v>429</v>
      </c>
      <c r="B278" s="236"/>
      <c r="C278" s="3">
        <f>SUMIFS(Data!$AC:$AC,Data!$Z:$Z,MarketProfile!A278,Data!$AE:$AE,"1")</f>
        <v>7695</v>
      </c>
      <c r="D278" s="375">
        <f>SUMIFS(Data!$AQ:$AQ,Data!$AN:$AN,MarketProfile!A278,Data!$AS:$AS,"1")</f>
        <v>18220</v>
      </c>
      <c r="E278" s="375"/>
      <c r="F278" s="171">
        <f t="shared" si="19"/>
        <v>-0.577661909989023</v>
      </c>
      <c r="G278" s="375">
        <f>SUMIFS(Data!$BE:$BE,Data!$BB:$BB,MarketProfile!A278,Data!BG:BG,"1")</f>
        <v>8314</v>
      </c>
      <c r="H278" s="375"/>
      <c r="I278" s="171">
        <f t="shared" si="18"/>
        <v>-7.4452730334375758E-2</v>
      </c>
      <c r="J278" s="153"/>
    </row>
    <row r="279" spans="1:10" x14ac:dyDescent="0.25">
      <c r="A279" s="236" t="s">
        <v>126</v>
      </c>
      <c r="B279" s="236"/>
      <c r="C279" s="3">
        <f>SUMIFS(Data!$AC:$AC,Data!$Z:$Z,MarketProfile!A279,Data!$AE:$AE,"1")</f>
        <v>34</v>
      </c>
      <c r="D279" s="375">
        <f>SUMIFS(Data!$AQ:$AQ,Data!$AN:$AN,MarketProfile!A279,Data!$AS:$AS,"1")</f>
        <v>24</v>
      </c>
      <c r="E279" s="375"/>
      <c r="F279" s="171">
        <f t="shared" si="19"/>
        <v>0.41666666666666669</v>
      </c>
      <c r="G279" s="375">
        <f>SUMIFS(Data!$BE:$BE,Data!$BB:$BB,MarketProfile!A279,Data!BG:BG,"1")</f>
        <v>55</v>
      </c>
      <c r="H279" s="375"/>
      <c r="I279" s="171">
        <f t="shared" si="18"/>
        <v>-0.38181818181818183</v>
      </c>
      <c r="J279" s="153"/>
    </row>
    <row r="280" spans="1:10" x14ac:dyDescent="0.25">
      <c r="A280" s="236" t="s">
        <v>430</v>
      </c>
      <c r="B280" s="236"/>
      <c r="C280" s="3">
        <f>SUMIFS(Data!$AC:$AC,Data!$Z:$Z,MarketProfile!A280,Data!$AE:$AE,"1")</f>
        <v>1592</v>
      </c>
      <c r="D280" s="375">
        <f>SUMIFS(Data!$AQ:$AQ,Data!$AN:$AN,MarketProfile!A280,Data!$AS:$AS,"1")</f>
        <v>3796</v>
      </c>
      <c r="E280" s="375"/>
      <c r="F280" s="171">
        <f t="shared" si="19"/>
        <v>-0.58061116965226556</v>
      </c>
      <c r="G280" s="375">
        <f>SUMIFS(Data!$BE:$BE,Data!$BB:$BB,MarketProfile!A280,Data!BG:BG,"1")</f>
        <v>1935</v>
      </c>
      <c r="H280" s="375"/>
      <c r="I280" s="171">
        <f t="shared" si="18"/>
        <v>-0.17726098191214471</v>
      </c>
      <c r="J280" s="153"/>
    </row>
    <row r="281" spans="1:10" x14ac:dyDescent="0.25">
      <c r="A281" s="236" t="s">
        <v>431</v>
      </c>
      <c r="B281" s="236"/>
      <c r="C281" s="3">
        <f>SUMIFS(Data!$AC:$AC,Data!$Z:$Z,MarketProfile!A281,Data!$AE:$AE,"1")</f>
        <v>10393</v>
      </c>
      <c r="D281" s="375">
        <f>SUMIFS(Data!$AQ:$AQ,Data!$AN:$AN,MarketProfile!A281,Data!$AS:$AS,"1")</f>
        <v>22276</v>
      </c>
      <c r="E281" s="375"/>
      <c r="F281" s="171">
        <f t="shared" si="19"/>
        <v>-0.53344406536182443</v>
      </c>
      <c r="G281" s="375">
        <f>SUMIFS(Data!$BE:$BE,Data!$BB:$BB,MarketProfile!A281,Data!BG:BG,"1")</f>
        <v>10397</v>
      </c>
      <c r="H281" s="375"/>
      <c r="I281" s="171">
        <f t="shared" si="18"/>
        <v>-3.847263633740502E-4</v>
      </c>
      <c r="J281" s="153"/>
    </row>
    <row r="282" spans="1:10" x14ac:dyDescent="0.25">
      <c r="A282" s="236" t="s">
        <v>432</v>
      </c>
      <c r="B282" s="236"/>
      <c r="C282" s="3">
        <f>SUMIFS(Data!$AC:$AC,Data!$Z:$Z,MarketProfile!A282,Data!$AE:$AE,"1")</f>
        <v>6</v>
      </c>
      <c r="D282" s="375">
        <f>SUMIFS(Data!$AQ:$AQ,Data!$AN:$AN,MarketProfile!A282,Data!$AS:$AS,"1")</f>
        <v>12</v>
      </c>
      <c r="E282" s="375"/>
      <c r="F282" s="171">
        <f t="shared" si="19"/>
        <v>-0.5</v>
      </c>
      <c r="G282" s="375">
        <f>SUMIFS(Data!$BE:$BE,Data!$BB:$BB,MarketProfile!A282,Data!BG:BG,"1")</f>
        <v>20</v>
      </c>
      <c r="H282" s="375"/>
      <c r="I282" s="171">
        <f t="shared" si="18"/>
        <v>-0.7</v>
      </c>
      <c r="J282" s="153"/>
    </row>
    <row r="283" spans="1:10" x14ac:dyDescent="0.25">
      <c r="A283" s="236" t="s">
        <v>127</v>
      </c>
      <c r="B283" s="236"/>
      <c r="C283" s="3">
        <f>SUMIFS(Data!$AC:$AC,Data!$Z:$Z,MarketProfile!A283,Data!$AE:$AE,"1")</f>
        <v>2</v>
      </c>
      <c r="D283" s="375">
        <f>SUMIFS(Data!$AQ:$AQ,Data!$AN:$AN,MarketProfile!A283,Data!$AS:$AS,"1")</f>
        <v>1</v>
      </c>
      <c r="E283" s="375"/>
      <c r="F283" s="171">
        <f t="shared" si="19"/>
        <v>1</v>
      </c>
      <c r="G283" s="375">
        <f>SUMIFS(Data!$BE:$BE,Data!$BB:$BB,MarketProfile!A283,Data!BG:BG,"1")</f>
        <v>4</v>
      </c>
      <c r="H283" s="375"/>
      <c r="I283" s="171">
        <f t="shared" si="18"/>
        <v>-0.5</v>
      </c>
      <c r="J283" s="153"/>
    </row>
    <row r="284" spans="1:10" x14ac:dyDescent="0.25">
      <c r="A284" s="235" t="s">
        <v>164</v>
      </c>
      <c r="B284" s="236"/>
      <c r="C284" s="4">
        <f>SUM(C276:C283)</f>
        <v>23391</v>
      </c>
      <c r="D284" s="376">
        <f>SUM(D276:E283)</f>
        <v>51608</v>
      </c>
      <c r="E284" s="376">
        <f>SUM(E276:E283)</f>
        <v>0</v>
      </c>
      <c r="F284" s="160">
        <f t="shared" si="19"/>
        <v>-0.54675631685010073</v>
      </c>
      <c r="G284" s="376">
        <f>SUM(G276:H283)</f>
        <v>24296</v>
      </c>
      <c r="H284" s="376">
        <f>SUM(H276:H283)</f>
        <v>0</v>
      </c>
      <c r="I284" s="160">
        <f>IFERROR(IF(OR(AND(G284="",C284=""),AND(G284=0,C284=0)),"",
IF(OR(G284="",G284=0),1,
IF(OR(G284&lt;&gt;"",G284&lt;&gt;0),(C284-G284)/ABS(G284)))),-1)</f>
        <v>-3.7248929864998351E-2</v>
      </c>
      <c r="J284" s="153"/>
    </row>
    <row r="285" spans="1:10" x14ac:dyDescent="0.25">
      <c r="A285" s="134" t="s">
        <v>15</v>
      </c>
      <c r="B285" s="236"/>
      <c r="C285" s="3"/>
      <c r="D285" s="236"/>
      <c r="E285" s="236"/>
      <c r="F285" s="171"/>
      <c r="G285" s="236"/>
      <c r="H285" s="236"/>
      <c r="I285" s="171" t="s">
        <v>168</v>
      </c>
    </row>
    <row r="286" spans="1:10" x14ac:dyDescent="0.25">
      <c r="A286" s="236" t="s">
        <v>428</v>
      </c>
      <c r="B286" s="236"/>
      <c r="C286" s="3">
        <f>SUMIFS(Data!$AC:$AC,Data!$Z:$Z,MarketProfile!A286,Data!$AE:$AE,"0")</f>
        <v>0</v>
      </c>
      <c r="D286" s="375">
        <f>SUMIFS(Data!$AQ:$AQ,Data!$AN:$AN,MarketProfile!A286,Data!$AS:$AS,"0")</f>
        <v>55</v>
      </c>
      <c r="E286" s="375"/>
      <c r="F286" s="171">
        <f t="shared" ref="F286:F294" si="20">IFERROR(IF(OR(AND(D286="",C286=""),AND(D286=0,C286=0)),"",
IF(OR(D286="",D286=0),1,
IF(OR(D286&lt;&gt;"",D286&lt;&gt;0),(C286-D286)/ABS(D286)))),-1)</f>
        <v>-1</v>
      </c>
      <c r="G286" s="375">
        <f>SUMIFS(Data!$BE:$BE,Data!$BB:$BB,MarketProfile!A286,Data!BG:BG,"0")</f>
        <v>8</v>
      </c>
      <c r="H286" s="375"/>
      <c r="I286" s="171">
        <f t="shared" ref="I286:I294" si="21">IFERROR(IF(OR(AND(G286="",C286=""),AND(G286=0,C286=0)),"",
IF(OR(G286="",G286=0),1,
IF(OR(G286&lt;&gt;"",G286&lt;&gt;0),(C286-G286)/ABS(G286)))),-1)</f>
        <v>-1</v>
      </c>
    </row>
    <row r="287" spans="1:10" x14ac:dyDescent="0.25">
      <c r="A287" s="236" t="s">
        <v>161</v>
      </c>
      <c r="B287" s="236"/>
      <c r="C287" s="3">
        <f>SUMIFS(Data!$AC:$AC,Data!$Z:$Z,MarketProfile!A287,Data!$AE:$AE,"0")</f>
        <v>44</v>
      </c>
      <c r="D287" s="375">
        <f>SUMIFS(Data!$AQ:$AQ,Data!$AN:$AN,MarketProfile!A287,Data!$AS:$AS,"0")</f>
        <v>124</v>
      </c>
      <c r="E287" s="375"/>
      <c r="F287" s="171">
        <f t="shared" si="20"/>
        <v>-0.64516129032258063</v>
      </c>
      <c r="G287" s="375">
        <f>SUMIFS(Data!$BE:$BE,Data!$BB:$BB,MarketProfile!A287,Data!BG:BG,"0")</f>
        <v>80</v>
      </c>
      <c r="H287" s="375"/>
      <c r="I287" s="171">
        <f t="shared" si="21"/>
        <v>-0.45</v>
      </c>
    </row>
    <row r="288" spans="1:10" x14ac:dyDescent="0.25">
      <c r="A288" s="236" t="s">
        <v>429</v>
      </c>
      <c r="B288" s="236"/>
      <c r="C288" s="3">
        <f>SUMIFS(Data!$AC:$AC,Data!$Z:$Z,MarketProfile!A288,Data!$AE:$AE,"0")</f>
        <v>286</v>
      </c>
      <c r="D288" s="375">
        <f>SUMIFS(Data!$AQ:$AQ,Data!$AN:$AN,MarketProfile!A288,Data!$AS:$AS,"0")</f>
        <v>430</v>
      </c>
      <c r="E288" s="375"/>
      <c r="F288" s="171">
        <f t="shared" si="20"/>
        <v>-0.33488372093023255</v>
      </c>
      <c r="G288" s="375">
        <f>SUMIFS(Data!$BE:$BE,Data!$BB:$BB,MarketProfile!A288,Data!BG:BG,"0")</f>
        <v>180</v>
      </c>
      <c r="H288" s="375"/>
      <c r="I288" s="171">
        <f t="shared" si="21"/>
        <v>0.58888888888888891</v>
      </c>
    </row>
    <row r="289" spans="1:9" x14ac:dyDescent="0.25">
      <c r="A289" s="236" t="s">
        <v>126</v>
      </c>
      <c r="B289" s="236"/>
      <c r="C289" s="3">
        <f>SUMIFS(Data!$AC:$AC,Data!$Z:$Z,MarketProfile!A289,Data!$AE:$AE,"0")</f>
        <v>0</v>
      </c>
      <c r="D289" s="375">
        <f>SUMIFS(Data!$AQ:$AQ,Data!$AN:$AN,MarketProfile!A289,Data!$AS:$AS,"0")</f>
        <v>0</v>
      </c>
      <c r="E289" s="375"/>
      <c r="F289" s="171" t="str">
        <f t="shared" si="20"/>
        <v/>
      </c>
      <c r="G289" s="375">
        <f>SUMIFS(Data!$BE:$BE,Data!$BB:$BB,MarketProfile!A289,Data!BG:BG,"0")</f>
        <v>0</v>
      </c>
      <c r="H289" s="375"/>
      <c r="I289" s="171" t="str">
        <f t="shared" si="21"/>
        <v/>
      </c>
    </row>
    <row r="290" spans="1:9" x14ac:dyDescent="0.25">
      <c r="A290" s="236" t="s">
        <v>430</v>
      </c>
      <c r="B290" s="236"/>
      <c r="C290" s="3">
        <f>SUMIFS(Data!$AC:$AC,Data!$Z:$Z,MarketProfile!A290,Data!$AE:$AE,"0")</f>
        <v>37</v>
      </c>
      <c r="D290" s="375">
        <f>SUMIFS(Data!$AQ:$AQ,Data!$AN:$AN,MarketProfile!A290,Data!$AS:$AS,"0")</f>
        <v>151</v>
      </c>
      <c r="E290" s="375"/>
      <c r="F290" s="171">
        <f t="shared" si="20"/>
        <v>-0.75496688741721851</v>
      </c>
      <c r="G290" s="375">
        <f>SUMIFS(Data!$BE:$BE,Data!$BB:$BB,MarketProfile!A290,Data!BG:BG,"0")</f>
        <v>33</v>
      </c>
      <c r="H290" s="375"/>
      <c r="I290" s="171">
        <f t="shared" si="21"/>
        <v>0.12121212121212122</v>
      </c>
    </row>
    <row r="291" spans="1:9" x14ac:dyDescent="0.25">
      <c r="A291" s="236" t="s">
        <v>431</v>
      </c>
      <c r="B291" s="236"/>
      <c r="C291" s="3">
        <f>SUMIFS(Data!$AC:$AC,Data!$Z:$Z,MarketProfile!A291,Data!$AE:$AE,"0")</f>
        <v>646</v>
      </c>
      <c r="D291" s="375">
        <f>SUMIFS(Data!$AQ:$AQ,Data!$AN:$AN,MarketProfile!A291,Data!$AS:$AS,"0")</f>
        <v>846</v>
      </c>
      <c r="E291" s="375"/>
      <c r="F291" s="171">
        <f t="shared" si="20"/>
        <v>-0.2364066193853428</v>
      </c>
      <c r="G291" s="375">
        <f>SUMIFS(Data!$BE:$BE,Data!$BB:$BB,MarketProfile!A291,Data!BG:BG,"0")</f>
        <v>634</v>
      </c>
      <c r="H291" s="375"/>
      <c r="I291" s="171">
        <f t="shared" si="21"/>
        <v>1.8927444794952682E-2</v>
      </c>
    </row>
    <row r="292" spans="1:9" x14ac:dyDescent="0.25">
      <c r="A292" s="236" t="s">
        <v>432</v>
      </c>
      <c r="B292" s="236"/>
      <c r="C292" s="3">
        <f>SUMIFS(Data!$AC:$AC,Data!$Z:$Z,MarketProfile!A292,Data!$AE:$AE,"0")</f>
        <v>0</v>
      </c>
      <c r="D292" s="375">
        <f>SUMIFS(Data!$AQ:$AQ,Data!$AN:$AN,MarketProfile!A292,Data!$AS:$AS,"0")</f>
        <v>0</v>
      </c>
      <c r="E292" s="375"/>
      <c r="F292" s="171" t="str">
        <f t="shared" si="20"/>
        <v/>
      </c>
      <c r="G292" s="375">
        <f>SUMIFS(Data!$BE:$BE,Data!$BB:$BB,MarketProfile!A292,Data!BG:BG,"0")</f>
        <v>0</v>
      </c>
      <c r="H292" s="375"/>
      <c r="I292" s="171" t="str">
        <f t="shared" si="21"/>
        <v/>
      </c>
    </row>
    <row r="293" spans="1:9" x14ac:dyDescent="0.25">
      <c r="A293" s="236" t="s">
        <v>127</v>
      </c>
      <c r="B293" s="236"/>
      <c r="C293" s="3">
        <f>SUMIFS(Data!$AC:$AC,Data!$Z:$Z,MarketProfile!A293,Data!$AE:$AE,"0")</f>
        <v>0</v>
      </c>
      <c r="D293" s="375">
        <f>SUMIFS(Data!$AQ:$AQ,Data!$AN:$AN,MarketProfile!A293,Data!$AS:$AS,"0")</f>
        <v>0</v>
      </c>
      <c r="E293" s="375"/>
      <c r="F293" s="171" t="str">
        <f t="shared" si="20"/>
        <v/>
      </c>
      <c r="G293" s="375">
        <f>SUMIFS(Data!$BE:$BE,Data!$BB:$BB,MarketProfile!A293,Data!BG:BG,"0")</f>
        <v>0</v>
      </c>
      <c r="H293" s="375"/>
      <c r="I293" s="171" t="str">
        <f t="shared" si="21"/>
        <v/>
      </c>
    </row>
    <row r="294" spans="1:9" x14ac:dyDescent="0.25">
      <c r="A294" s="235" t="s">
        <v>165</v>
      </c>
      <c r="B294" s="236"/>
      <c r="C294" s="4">
        <f>SUM(C286:C293)</f>
        <v>1013</v>
      </c>
      <c r="D294" s="376">
        <f>SUM(D286:E293)</f>
        <v>1606</v>
      </c>
      <c r="E294" s="376">
        <f>SUM(E286:E293)</f>
        <v>0</v>
      </c>
      <c r="F294" s="160">
        <f t="shared" si="20"/>
        <v>-0.36924034869240346</v>
      </c>
      <c r="G294" s="376">
        <f>SUM(G286:H293)</f>
        <v>935</v>
      </c>
      <c r="H294" s="376">
        <f>SUM(H286:H293)</f>
        <v>0</v>
      </c>
      <c r="I294" s="160">
        <f t="shared" si="21"/>
        <v>8.3422459893048126E-2</v>
      </c>
    </row>
    <row r="295" spans="1:9" x14ac:dyDescent="0.25">
      <c r="A295" s="132" t="s">
        <v>119</v>
      </c>
      <c r="B295" s="132"/>
      <c r="C295" s="162"/>
      <c r="D295" s="132"/>
      <c r="E295" s="132"/>
      <c r="F295" s="132" t="s">
        <v>168</v>
      </c>
      <c r="G295" s="132"/>
      <c r="H295" s="133"/>
      <c r="I295" s="163" t="s">
        <v>168</v>
      </c>
    </row>
    <row r="296" spans="1:9" x14ac:dyDescent="0.25">
      <c r="A296" s="134" t="s">
        <v>14</v>
      </c>
      <c r="B296" s="236"/>
      <c r="C296" s="3"/>
      <c r="D296" s="236"/>
      <c r="E296" s="236"/>
      <c r="F296" s="135"/>
      <c r="G296" s="236"/>
      <c r="H296" s="236"/>
      <c r="I296" s="171"/>
    </row>
    <row r="297" spans="1:9" x14ac:dyDescent="0.25">
      <c r="A297" s="236" t="s">
        <v>428</v>
      </c>
      <c r="B297" s="236"/>
      <c r="C297" s="3">
        <f>SUMIFS(Data!$AB:$AB,Data!$Z:$Z,MarketProfile!A297,Data!$AE:$AE,"1")</f>
        <v>13423</v>
      </c>
      <c r="D297" s="375">
        <f>SUMIFS(Data!$AP:$AP,Data!$AN:$AN,MarketProfile!A297,Data!$AS:$AS,"1")</f>
        <v>48603</v>
      </c>
      <c r="E297" s="375"/>
      <c r="F297" s="171">
        <f t="shared" ref="F297:F305" si="22">IFERROR(IF(OR(AND(D297="",C297=""),AND(D297=0,C297=0)),"",
IF(OR(D297="",D297=0),1,
IF(OR(D297&lt;&gt;"",D297&lt;&gt;0),(C297-D297)/ABS(D297)))),-1)</f>
        <v>-0.72382363228607283</v>
      </c>
      <c r="G297" s="375">
        <f>SUMIFS(Data!$BD:$BD,Data!$BB:$BB,MarketProfile!A297,Data!BG:BG,"1")</f>
        <v>17055</v>
      </c>
      <c r="H297" s="375"/>
      <c r="I297" s="171">
        <f t="shared" ref="I297:I305" si="23">IFERROR(IF(OR(AND(G297="",C297=""),AND(G297=0,C297=0)),"",
IF(OR(G297="",G297=0),1,
IF(OR(G297&lt;&gt;"",G297&lt;&gt;0),(C297-G297)/ABS(G297)))),-1)</f>
        <v>-0.21295807681031956</v>
      </c>
    </row>
    <row r="298" spans="1:9" x14ac:dyDescent="0.25">
      <c r="A298" s="236" t="s">
        <v>161</v>
      </c>
      <c r="B298" s="236"/>
      <c r="C298" s="3">
        <f>SUMIFS(Data!$AB:$AB,Data!$Z:$Z,MarketProfile!A298,Data!$AE:$AE,"1")</f>
        <v>17800</v>
      </c>
      <c r="D298" s="375">
        <f>SUMIFS(Data!$AP:$AP,Data!$AN:$AN,MarketProfile!A298,Data!$AS:$AS,"1")</f>
        <v>35730</v>
      </c>
      <c r="E298" s="375"/>
      <c r="F298" s="171">
        <f t="shared" si="22"/>
        <v>-0.501819199552197</v>
      </c>
      <c r="G298" s="375">
        <f>SUMIFS(Data!$BD:$BD,Data!$BB:$BB,MarketProfile!A298,Data!BG:BG,"1")</f>
        <v>15481</v>
      </c>
      <c r="H298" s="375"/>
      <c r="I298" s="171">
        <f t="shared" si="23"/>
        <v>0.14979652477230154</v>
      </c>
    </row>
    <row r="299" spans="1:9" x14ac:dyDescent="0.25">
      <c r="A299" s="236" t="s">
        <v>429</v>
      </c>
      <c r="B299" s="236"/>
      <c r="C299" s="3">
        <f>SUMIFS(Data!$AB:$AB,Data!$Z:$Z,MarketProfile!A299,Data!$AE:$AE,"1")</f>
        <v>63903</v>
      </c>
      <c r="D299" s="375">
        <f>SUMIFS(Data!$AP:$AP,Data!$AN:$AN,MarketProfile!A299,Data!$AS:$AS,"1")</f>
        <v>129234</v>
      </c>
      <c r="E299" s="375"/>
      <c r="F299" s="171">
        <f t="shared" si="22"/>
        <v>-0.50552486187845302</v>
      </c>
      <c r="G299" s="375">
        <f>SUMIFS(Data!$BD:$BD,Data!$BB:$BB,MarketProfile!A299,Data!BG:BG,"1")</f>
        <v>54996</v>
      </c>
      <c r="H299" s="375"/>
      <c r="I299" s="171">
        <f t="shared" si="23"/>
        <v>0.1619572332533275</v>
      </c>
    </row>
    <row r="300" spans="1:9" x14ac:dyDescent="0.25">
      <c r="A300" s="236" t="s">
        <v>126</v>
      </c>
      <c r="B300" s="236"/>
      <c r="C300" s="3">
        <f>SUMIFS(Data!$AB:$AB,Data!$Z:$Z,MarketProfile!A300,Data!$AE:$AE,"1")</f>
        <v>363</v>
      </c>
      <c r="D300" s="375">
        <f>SUMIFS(Data!$AP:$AP,Data!$AN:$AN,MarketProfile!A300,Data!$AS:$AS,"1")</f>
        <v>512</v>
      </c>
      <c r="E300" s="375"/>
      <c r="F300" s="171">
        <f t="shared" si="22"/>
        <v>-0.291015625</v>
      </c>
      <c r="G300" s="375">
        <f>SUMIFS(Data!$BD:$BD,Data!$BB:$BB,MarketProfile!A300,Data!BG:BG,"1")</f>
        <v>492</v>
      </c>
      <c r="H300" s="375"/>
      <c r="I300" s="171">
        <f t="shared" si="23"/>
        <v>-0.26219512195121952</v>
      </c>
    </row>
    <row r="301" spans="1:9" x14ac:dyDescent="0.25">
      <c r="A301" s="236" t="s">
        <v>430</v>
      </c>
      <c r="B301" s="236"/>
      <c r="C301" s="3">
        <f>SUMIFS(Data!$AB:$AB,Data!$Z:$Z,MarketProfile!A301,Data!$AE:$AE,"1")</f>
        <v>6289</v>
      </c>
      <c r="D301" s="375">
        <f>SUMIFS(Data!$AP:$AP,Data!$AN:$AN,MarketProfile!A301,Data!$AS:$AS,"1")</f>
        <v>12520</v>
      </c>
      <c r="E301" s="375"/>
      <c r="F301" s="171">
        <f t="shared" si="22"/>
        <v>-0.49768370607028756</v>
      </c>
      <c r="G301" s="375">
        <f>SUMIFS(Data!$BD:$BD,Data!$BB:$BB,MarketProfile!A301,Data!BG:BG,"1")</f>
        <v>12508</v>
      </c>
      <c r="H301" s="375"/>
      <c r="I301" s="171">
        <f t="shared" si="23"/>
        <v>-0.49720179085385352</v>
      </c>
    </row>
    <row r="302" spans="1:9" x14ac:dyDescent="0.25">
      <c r="A302" s="236" t="s">
        <v>431</v>
      </c>
      <c r="B302" s="236"/>
      <c r="C302" s="3">
        <f>SUMIFS(Data!$AB:$AB,Data!$Z:$Z,MarketProfile!A302,Data!$AE:$AE,"1")</f>
        <v>61233</v>
      </c>
      <c r="D302" s="375">
        <f>SUMIFS(Data!$AP:$AP,Data!$AN:$AN,MarketProfile!A302,Data!$AS:$AS,"1")</f>
        <v>119758</v>
      </c>
      <c r="E302" s="375"/>
      <c r="F302" s="171">
        <f t="shared" si="22"/>
        <v>-0.48869386596302544</v>
      </c>
      <c r="G302" s="375">
        <f>SUMIFS(Data!$BD:$BD,Data!$BB:$BB,MarketProfile!A302,Data!BG:BG,"1")</f>
        <v>59810</v>
      </c>
      <c r="H302" s="375"/>
      <c r="I302" s="171">
        <f t="shared" si="23"/>
        <v>2.379200802541381E-2</v>
      </c>
    </row>
    <row r="303" spans="1:9" x14ac:dyDescent="0.25">
      <c r="A303" s="236" t="s">
        <v>432</v>
      </c>
      <c r="B303" s="236"/>
      <c r="C303" s="3">
        <f>SUMIFS(Data!$AB:$AB,Data!$Z:$Z,MarketProfile!A303,Data!$AE:$AE,"1")</f>
        <v>53</v>
      </c>
      <c r="D303" s="375">
        <f>SUMIFS(Data!$AP:$AP,Data!$AN:$AN,MarketProfile!A303,Data!$AS:$AS,"1")</f>
        <v>215</v>
      </c>
      <c r="E303" s="375"/>
      <c r="F303" s="171">
        <f t="shared" si="22"/>
        <v>-0.75348837209302322</v>
      </c>
      <c r="G303" s="375">
        <f>SUMIFS(Data!$BD:$BD,Data!$BB:$BB,MarketProfile!A303,Data!BG:BG,"1")</f>
        <v>246</v>
      </c>
      <c r="H303" s="375"/>
      <c r="I303" s="171">
        <f t="shared" si="23"/>
        <v>-0.78455284552845528</v>
      </c>
    </row>
    <row r="304" spans="1:9" x14ac:dyDescent="0.25">
      <c r="A304" s="236" t="s">
        <v>127</v>
      </c>
      <c r="B304" s="236"/>
      <c r="C304" s="3">
        <f>SUMIFS(Data!$AB:$AB,Data!$Z:$Z,MarketProfile!A304,Data!$AE:$AE,"1")</f>
        <v>6</v>
      </c>
      <c r="D304" s="375">
        <f>SUMIFS(Data!$AP:$AP,Data!$AN:$AN,MarketProfile!A304,Data!$AS:$AS,"1")</f>
        <v>5</v>
      </c>
      <c r="E304" s="375"/>
      <c r="F304" s="171">
        <f t="shared" si="22"/>
        <v>0.2</v>
      </c>
      <c r="G304" s="375">
        <f>SUMIFS(Data!$BD:$BD,Data!$BB:$BB,MarketProfile!A304,Data!BG:BG,"1")</f>
        <v>9</v>
      </c>
      <c r="H304" s="375"/>
      <c r="I304" s="171">
        <f t="shared" si="23"/>
        <v>-0.33333333333333331</v>
      </c>
    </row>
    <row r="305" spans="1:9" x14ac:dyDescent="0.25">
      <c r="A305" s="235" t="s">
        <v>164</v>
      </c>
      <c r="B305" s="236"/>
      <c r="C305" s="4">
        <f>SUM(C297:C304)</f>
        <v>163070</v>
      </c>
      <c r="D305" s="376">
        <f>SUM(D297:E304)</f>
        <v>346577</v>
      </c>
      <c r="E305" s="376">
        <f>SUM(E297:E304)</f>
        <v>0</v>
      </c>
      <c r="F305" s="160">
        <f t="shared" si="22"/>
        <v>-0.52948406847540375</v>
      </c>
      <c r="G305" s="376">
        <f>SUM(G297:H304)</f>
        <v>160597</v>
      </c>
      <c r="H305" s="376">
        <f>SUM(H297:H304)</f>
        <v>0</v>
      </c>
      <c r="I305" s="160">
        <f t="shared" si="23"/>
        <v>1.5398793252675952E-2</v>
      </c>
    </row>
    <row r="306" spans="1:9" x14ac:dyDescent="0.25">
      <c r="A306" s="134" t="s">
        <v>15</v>
      </c>
      <c r="B306" s="236"/>
      <c r="C306" s="3"/>
      <c r="D306" s="236"/>
      <c r="E306" s="236"/>
      <c r="F306" s="171"/>
      <c r="G306" s="236"/>
      <c r="H306" s="236"/>
      <c r="I306" s="171"/>
    </row>
    <row r="307" spans="1:9" x14ac:dyDescent="0.25">
      <c r="A307" s="236" t="s">
        <v>428</v>
      </c>
      <c r="B307" s="236"/>
      <c r="C307" s="3">
        <f>SUMIFS(Data!$AB:$AB,Data!$Z:$Z,MarketProfile!A307,Data!$AE:$AE,"0")</f>
        <v>0</v>
      </c>
      <c r="D307" s="375">
        <f>SUMIFS(Data!$AP:$AP,Data!$AN:$AN,MarketProfile!A307,Data!$AS:$AS,"0")</f>
        <v>137</v>
      </c>
      <c r="E307" s="375"/>
      <c r="F307" s="171">
        <f t="shared" ref="F307:F315" si="24">IFERROR(IF(OR(AND(D307="",C307=""),AND(D307=0,C307=0)),"",
IF(OR(D307="",D307=0),1,
IF(OR(D307&lt;&gt;"",D307&lt;&gt;0),(C307-D307)/ABS(D307)))),-1)</f>
        <v>-1</v>
      </c>
      <c r="G307" s="375">
        <f>SUMIFS(Data!$BD:$BD,Data!$BB:$BB,MarketProfile!A307,Data!BG:BG,"0")</f>
        <v>9</v>
      </c>
      <c r="H307" s="375"/>
      <c r="I307" s="171">
        <f t="shared" ref="I307:I315" si="25">IFERROR(IF(OR(AND(G307="",C307=""),AND(G307=0,C307=0)),"",
IF(OR(G307="",G307=0),1,
IF(OR(G307&lt;&gt;"",G307&lt;&gt;0),(C307-G307)/ABS(G307)))),-1)</f>
        <v>-1</v>
      </c>
    </row>
    <row r="308" spans="1:9" x14ac:dyDescent="0.25">
      <c r="A308" s="236" t="s">
        <v>161</v>
      </c>
      <c r="B308" s="236"/>
      <c r="C308" s="3">
        <f>SUMIFS(Data!$AB:$AB,Data!$Z:$Z,MarketProfile!A308,Data!$AE:$AE,"0")</f>
        <v>703</v>
      </c>
      <c r="D308" s="375">
        <f>SUMIFS(Data!$AP:$AP,Data!$AN:$AN,MarketProfile!A308,Data!$AS:$AS,"0")</f>
        <v>448</v>
      </c>
      <c r="E308" s="375"/>
      <c r="F308" s="171">
        <f t="shared" si="24"/>
        <v>0.5691964285714286</v>
      </c>
      <c r="G308" s="375">
        <f>SUMIFS(Data!$BD:$BD,Data!$BB:$BB,MarketProfile!A308,Data!BG:BG,"0")</f>
        <v>808</v>
      </c>
      <c r="H308" s="375"/>
      <c r="I308" s="171">
        <f t="shared" si="25"/>
        <v>-0.12995049504950495</v>
      </c>
    </row>
    <row r="309" spans="1:9" x14ac:dyDescent="0.25">
      <c r="A309" s="236" t="s">
        <v>429</v>
      </c>
      <c r="B309" s="236"/>
      <c r="C309" s="3">
        <f>SUMIFS(Data!$AB:$AB,Data!$Z:$Z,MarketProfile!A309,Data!$AE:$AE,"0")</f>
        <v>4243</v>
      </c>
      <c r="D309" s="375">
        <f>SUMIFS(Data!$AP:$AP,Data!$AN:$AN,MarketProfile!A309,Data!$AS:$AS,"0")</f>
        <v>4372</v>
      </c>
      <c r="E309" s="375"/>
      <c r="F309" s="171">
        <f t="shared" si="24"/>
        <v>-2.9505946935041171E-2</v>
      </c>
      <c r="G309" s="375">
        <f>SUMIFS(Data!$BD:$BD,Data!$BB:$BB,MarketProfile!A309,Data!BG:BG,"0")</f>
        <v>2510</v>
      </c>
      <c r="H309" s="375"/>
      <c r="I309" s="171">
        <f t="shared" si="25"/>
        <v>0.69043824701195222</v>
      </c>
    </row>
    <row r="310" spans="1:9" x14ac:dyDescent="0.25">
      <c r="A310" s="236" t="s">
        <v>126</v>
      </c>
      <c r="B310" s="236"/>
      <c r="C310" s="3">
        <f>SUMIFS(Data!$AB:$AB,Data!$Z:$Z,MarketProfile!A310,Data!$AE:$AE,"0")</f>
        <v>0</v>
      </c>
      <c r="D310" s="375">
        <f>SUMIFS(Data!$AP:$AP,Data!$AN:$AN,MarketProfile!A310,Data!$AS:$AS,"0")</f>
        <v>0</v>
      </c>
      <c r="E310" s="375"/>
      <c r="F310" s="171" t="str">
        <f t="shared" si="24"/>
        <v/>
      </c>
      <c r="G310" s="375">
        <f>SUMIFS(Data!$BD:$BD,Data!$BB:$BB,MarketProfile!A310,Data!BG:BG,"0")</f>
        <v>0</v>
      </c>
      <c r="H310" s="375"/>
      <c r="I310" s="171" t="str">
        <f t="shared" si="25"/>
        <v/>
      </c>
    </row>
    <row r="311" spans="1:9" x14ac:dyDescent="0.25">
      <c r="A311" s="236" t="s">
        <v>430</v>
      </c>
      <c r="B311" s="236"/>
      <c r="C311" s="3">
        <f>SUMIFS(Data!$AB:$AB,Data!$Z:$Z,MarketProfile!A311,Data!$AE:$AE,"0")</f>
        <v>1340</v>
      </c>
      <c r="D311" s="375">
        <f>SUMIFS(Data!$AP:$AP,Data!$AN:$AN,MarketProfile!A311,Data!$AS:$AS,"0")</f>
        <v>1453</v>
      </c>
      <c r="E311" s="375"/>
      <c r="F311" s="171">
        <f t="shared" si="24"/>
        <v>-7.7770130763936685E-2</v>
      </c>
      <c r="G311" s="375">
        <f>SUMIFS(Data!$BD:$BD,Data!$BB:$BB,MarketProfile!A311,Data!BG:BG,"0")</f>
        <v>928</v>
      </c>
      <c r="H311" s="375"/>
      <c r="I311" s="171">
        <f t="shared" si="25"/>
        <v>0.44396551724137934</v>
      </c>
    </row>
    <row r="312" spans="1:9" x14ac:dyDescent="0.25">
      <c r="A312" s="236" t="s">
        <v>431</v>
      </c>
      <c r="B312" s="236"/>
      <c r="C312" s="3">
        <f>SUMIFS(Data!$AB:$AB,Data!$Z:$Z,MarketProfile!A312,Data!$AE:$AE,"0")</f>
        <v>4487</v>
      </c>
      <c r="D312" s="375">
        <f>SUMIFS(Data!$AP:$AP,Data!$AN:$AN,MarketProfile!A312,Data!$AS:$AS,"0")</f>
        <v>6280</v>
      </c>
      <c r="E312" s="375"/>
      <c r="F312" s="171">
        <f t="shared" si="24"/>
        <v>-0.28550955414012741</v>
      </c>
      <c r="G312" s="375">
        <f>SUMIFS(Data!$BD:$BD,Data!$BB:$BB,MarketProfile!A312,Data!BG:BG,"0")</f>
        <v>7593</v>
      </c>
      <c r="H312" s="375"/>
      <c r="I312" s="171">
        <f t="shared" si="25"/>
        <v>-0.40906097721585671</v>
      </c>
    </row>
    <row r="313" spans="1:9" x14ac:dyDescent="0.25">
      <c r="A313" s="236" t="s">
        <v>432</v>
      </c>
      <c r="B313" s="236"/>
      <c r="C313" s="3">
        <f>SUMIFS(Data!$AB:$AB,Data!$Z:$Z,MarketProfile!A313,Data!$AE:$AE,"0")</f>
        <v>0</v>
      </c>
      <c r="D313" s="375">
        <f>SUMIFS(Data!$AP:$AP,Data!$AN:$AN,MarketProfile!A313,Data!$AS:$AS,"0")</f>
        <v>0</v>
      </c>
      <c r="E313" s="375"/>
      <c r="F313" s="171" t="str">
        <f t="shared" si="24"/>
        <v/>
      </c>
      <c r="G313" s="375">
        <f>SUMIFS(Data!$BD:$BD,Data!$BB:$BB,MarketProfile!A313,Data!BG:BG,"0")</f>
        <v>0</v>
      </c>
      <c r="H313" s="375"/>
      <c r="I313" s="171" t="str">
        <f t="shared" si="25"/>
        <v/>
      </c>
    </row>
    <row r="314" spans="1:9" x14ac:dyDescent="0.25">
      <c r="A314" s="236" t="s">
        <v>127</v>
      </c>
      <c r="B314" s="236"/>
      <c r="C314" s="3">
        <f>SUMIFS(Data!$AB:$AB,Data!$Z:$Z,MarketProfile!A314,Data!$AE:$AE,"0")</f>
        <v>0</v>
      </c>
      <c r="D314" s="375">
        <f>SUMIFS(Data!$AP:$AP,Data!$AN:$AN,MarketProfile!A314,Data!$AS:$AS,"0")</f>
        <v>0</v>
      </c>
      <c r="E314" s="375"/>
      <c r="F314" s="171" t="str">
        <f t="shared" si="24"/>
        <v/>
      </c>
      <c r="G314" s="375">
        <f>SUMIFS(Data!$BD:$BD,Data!$BB:$BB,MarketProfile!A314,Data!BG:BG,"0")</f>
        <v>0</v>
      </c>
      <c r="H314" s="375"/>
      <c r="I314" s="171" t="str">
        <f t="shared" si="25"/>
        <v/>
      </c>
    </row>
    <row r="315" spans="1:9" x14ac:dyDescent="0.25">
      <c r="A315" s="235" t="s">
        <v>165</v>
      </c>
      <c r="B315" s="236"/>
      <c r="C315" s="4">
        <f>SUM(C307:C314)</f>
        <v>10773</v>
      </c>
      <c r="D315" s="376">
        <f>SUM(D307:E314)</f>
        <v>12690</v>
      </c>
      <c r="E315" s="376">
        <v>34213</v>
      </c>
      <c r="F315" s="160">
        <f t="shared" si="24"/>
        <v>-0.15106382978723404</v>
      </c>
      <c r="G315" s="376">
        <f>SUM(G307:H314)</f>
        <v>11848</v>
      </c>
      <c r="H315" s="376">
        <f>SUM(H307:H314)</f>
        <v>0</v>
      </c>
      <c r="I315" s="160">
        <f t="shared" si="25"/>
        <v>-9.0732613099257259E-2</v>
      </c>
    </row>
    <row r="316" spans="1:9" x14ac:dyDescent="0.25">
      <c r="A316" s="132" t="s">
        <v>172</v>
      </c>
      <c r="B316" s="132"/>
      <c r="C316" s="162"/>
      <c r="D316" s="132"/>
      <c r="E316" s="132"/>
      <c r="F316" s="132" t="s">
        <v>168</v>
      </c>
      <c r="G316" s="132"/>
      <c r="H316" s="132"/>
      <c r="I316" s="163" t="s">
        <v>168</v>
      </c>
    </row>
    <row r="317" spans="1:9" x14ac:dyDescent="0.25">
      <c r="A317" s="134" t="s">
        <v>14</v>
      </c>
      <c r="B317" s="236"/>
      <c r="C317" s="3"/>
      <c r="D317" s="236"/>
      <c r="E317" s="236"/>
      <c r="F317" s="135"/>
      <c r="G317" s="236"/>
      <c r="H317" s="236"/>
      <c r="I317" s="171"/>
    </row>
    <row r="318" spans="1:9" x14ac:dyDescent="0.25">
      <c r="A318" s="236" t="s">
        <v>428</v>
      </c>
      <c r="B318" s="236"/>
      <c r="C318" s="3">
        <f>SUMIFS(Data!$AA:$AA,Data!$Z:$Z,MarketProfile!A318,Data!$AE:$AE,"1")/1000</f>
        <v>5020259.3839799995</v>
      </c>
      <c r="D318" s="375">
        <f>SUMIFS(Data!$AO:$AO,Data!$AN:$AN,MarketProfile!A318,Data!$AS:$AS,"1")/1000</f>
        <v>17013228.578159999</v>
      </c>
      <c r="E318" s="375"/>
      <c r="F318" s="171">
        <f t="shared" ref="F318:F326" si="26">IFERROR(IF(OR(AND(D318="",C318=""),AND(D318=0,C318=0)),"",
IF(OR(D318="",D318=0),1,
IF(OR(D318&lt;&gt;"",D318&lt;&gt;0),(C318-D318)/ABS(D318)))),-1)</f>
        <v>-0.70492024127480768</v>
      </c>
      <c r="G318" s="375">
        <f>SUMIFS(Data!$BC:$BC,Data!$BB:$BB,MarketProfile!A318,Data!BG:BG,"1")/1000</f>
        <v>4458219.2612100001</v>
      </c>
      <c r="H318" s="375"/>
      <c r="I318" s="171">
        <f t="shared" ref="I318:I326" si="27">IFERROR(IF(OR(AND(G318="",C318=""),AND(G318=0,C318=0)),"",
IF(OR(G318="",G318=0),1,
IF(OR(G318&lt;&gt;"",G318&lt;&gt;0),(C318-G318)/ABS(G318)))),-1)</f>
        <v>0.1260682998838098</v>
      </c>
    </row>
    <row r="319" spans="1:9" x14ac:dyDescent="0.25">
      <c r="A319" s="236" t="s">
        <v>161</v>
      </c>
      <c r="B319" s="236"/>
      <c r="C319" s="3">
        <f>SUMIFS(Data!$AA:$AA,Data!$Z:$Z,MarketProfile!A319,Data!$AE:$AE,"1")/1000</f>
        <v>6757689.523085</v>
      </c>
      <c r="D319" s="375">
        <f>SUMIFS(Data!$AO:$AO,Data!$AN:$AN,MarketProfile!A319,Data!$AS:$AS,"1")/1000</f>
        <v>13213360.034754999</v>
      </c>
      <c r="E319" s="375"/>
      <c r="F319" s="171">
        <f t="shared" si="26"/>
        <v>-0.48857145303614663</v>
      </c>
      <c r="G319" s="375">
        <f>SUMIFS(Data!$BC:$BC,Data!$BB:$BB,MarketProfile!A319,Data!BG:BG,"1")/1000</f>
        <v>6198520.9703700002</v>
      </c>
      <c r="H319" s="375"/>
      <c r="I319" s="171">
        <f t="shared" si="27"/>
        <v>9.020999612454679E-2</v>
      </c>
    </row>
    <row r="320" spans="1:9" x14ac:dyDescent="0.25">
      <c r="A320" s="236" t="s">
        <v>429</v>
      </c>
      <c r="B320" s="236"/>
      <c r="C320" s="3">
        <f>SUMIFS(Data!$AA:$AA,Data!$Z:$Z,MarketProfile!A320,Data!$AE:$AE,"1")/1000</f>
        <v>23921416.7247</v>
      </c>
      <c r="D320" s="375">
        <f>SUMIFS(Data!$AO:$AO,Data!$AN:$AN,MarketProfile!A320,Data!$AS:$AS,"1")/1000</f>
        <v>46631718.798339993</v>
      </c>
      <c r="E320" s="375"/>
      <c r="F320" s="171">
        <f t="shared" si="26"/>
        <v>-0.48701404663746684</v>
      </c>
      <c r="G320" s="375">
        <f>SUMIFS(Data!$BC:$BC,Data!$BB:$BB,MarketProfile!A320,Data!BG:BG,"1")/1000</f>
        <v>17694841.933740001</v>
      </c>
      <c r="H320" s="375"/>
      <c r="I320" s="171">
        <f t="shared" si="27"/>
        <v>0.35188643189218605</v>
      </c>
    </row>
    <row r="321" spans="1:9" x14ac:dyDescent="0.25">
      <c r="A321" s="236" t="s">
        <v>126</v>
      </c>
      <c r="B321" s="236"/>
      <c r="C321" s="3">
        <f>SUMIFS(Data!$AA:$AA,Data!$Z:$Z,MarketProfile!A321,Data!$AE:$AE,"1")/1000</f>
        <v>103521.5724</v>
      </c>
      <c r="D321" s="375">
        <f>SUMIFS(Data!$AO:$AO,Data!$AN:$AN,MarketProfile!A321,Data!$AS:$AS,"1")/1000</f>
        <v>141822.90991999998</v>
      </c>
      <c r="E321" s="375"/>
      <c r="F321" s="171">
        <f t="shared" si="26"/>
        <v>-0.27006453006503067</v>
      </c>
      <c r="G321" s="375">
        <f>SUMIFS(Data!$BC:$BC,Data!$BB:$BB,MarketProfile!A321,Data!BG:BG,"1")/1000</f>
        <v>137646.524794</v>
      </c>
      <c r="H321" s="375"/>
      <c r="I321" s="171">
        <f t="shared" si="27"/>
        <v>-0.24791728265621638</v>
      </c>
    </row>
    <row r="322" spans="1:9" x14ac:dyDescent="0.25">
      <c r="A322" s="236" t="s">
        <v>430</v>
      </c>
      <c r="B322" s="236"/>
      <c r="C322" s="3">
        <f>SUMIFS(Data!$AA:$AA,Data!$Z:$Z,MarketProfile!A322,Data!$AE:$AE,"1")/1000</f>
        <v>3338499.3775849999</v>
      </c>
      <c r="D322" s="375">
        <f>SUMIFS(Data!$AO:$AO,Data!$AN:$AN,MarketProfile!A322,Data!$AS:$AS,"1")/1000</f>
        <v>6608359.0167749999</v>
      </c>
      <c r="E322" s="375"/>
      <c r="F322" s="171">
        <f t="shared" si="26"/>
        <v>-0.49480659735489846</v>
      </c>
      <c r="G322" s="375">
        <f>SUMIFS(Data!$BC:$BC,Data!$BB:$BB,MarketProfile!A322,Data!BG:BG,"1")/1000</f>
        <v>5291619.1816850007</v>
      </c>
      <c r="H322" s="375"/>
      <c r="I322" s="171">
        <f t="shared" si="27"/>
        <v>-0.36909681839161984</v>
      </c>
    </row>
    <row r="323" spans="1:9" x14ac:dyDescent="0.25">
      <c r="A323" s="236" t="s">
        <v>431</v>
      </c>
      <c r="B323" s="236"/>
      <c r="C323" s="3">
        <f>SUMIFS(Data!$AA:$AA,Data!$Z:$Z,MarketProfile!A323,Data!$AE:$AE,"1")/1000</f>
        <v>21462797.25739</v>
      </c>
      <c r="D323" s="375">
        <f>SUMIFS(Data!$AO:$AO,Data!$AN:$AN,MarketProfile!A323,Data!$AS:$AS,"1")/1000</f>
        <v>40445090.003419995</v>
      </c>
      <c r="E323" s="375"/>
      <c r="F323" s="171">
        <f t="shared" si="26"/>
        <v>-0.4693349117142494</v>
      </c>
      <c r="G323" s="375">
        <f>SUMIFS(Data!$BC:$BC,Data!$BB:$BB,MarketProfile!A323,Data!BG:BG,"1")/1000</f>
        <v>19563327.101</v>
      </c>
      <c r="H323" s="375"/>
      <c r="I323" s="171">
        <f t="shared" si="27"/>
        <v>9.7093410879630318E-2</v>
      </c>
    </row>
    <row r="324" spans="1:9" x14ac:dyDescent="0.25">
      <c r="A324" s="236" t="s">
        <v>432</v>
      </c>
      <c r="B324" s="236"/>
      <c r="C324" s="3">
        <f>SUMIFS(Data!$AA:$AA,Data!$Z:$Z,MarketProfile!A324,Data!$AE:$AE,"1")/1000</f>
        <v>8006.8205080000007</v>
      </c>
      <c r="D324" s="375">
        <f>SUMIFS(Data!$AO:$AO,Data!$AN:$AN,MarketProfile!A324,Data!$AS:$AS,"1")/1000</f>
        <v>34569.740010000001</v>
      </c>
      <c r="E324" s="375"/>
      <c r="F324" s="171">
        <f t="shared" si="26"/>
        <v>-0.76838644127251565</v>
      </c>
      <c r="G324" s="375">
        <f>SUMIFS(Data!$BC:$BC,Data!$BB:$BB,MarketProfile!A324,Data!BG:BG,"1")/1000</f>
        <v>38893.301699000003</v>
      </c>
      <c r="H324" s="375"/>
      <c r="I324" s="171">
        <f t="shared" si="27"/>
        <v>-0.79413368990974953</v>
      </c>
    </row>
    <row r="325" spans="1:9" x14ac:dyDescent="0.25">
      <c r="A325" s="236" t="s">
        <v>127</v>
      </c>
      <c r="B325" s="236"/>
      <c r="C325" s="3">
        <f>SUMIFS(Data!$AA:$AA,Data!$Z:$Z,MarketProfile!A325,Data!$AE:$AE,"1")/1000</f>
        <v>678.6</v>
      </c>
      <c r="D325" s="375">
        <f>SUMIFS(Data!$AO:$AO,Data!$AN:$AN,MarketProfile!A325,Data!$AS:$AS,"1")/1000</f>
        <v>606</v>
      </c>
      <c r="E325" s="375"/>
      <c r="F325" s="171">
        <f t="shared" si="26"/>
        <v>0.11980198019801984</v>
      </c>
      <c r="G325" s="375">
        <f>SUMIFS(Data!$BC:$BC,Data!$BB:$BB,MarketProfile!A325,Data!BG:BG,"1")/1000</f>
        <v>641.14200000000005</v>
      </c>
      <c r="H325" s="375"/>
      <c r="I325" s="171">
        <f t="shared" si="27"/>
        <v>5.8423874898228423E-2</v>
      </c>
    </row>
    <row r="326" spans="1:9" x14ac:dyDescent="0.25">
      <c r="A326" s="235" t="s">
        <v>164</v>
      </c>
      <c r="B326" s="236"/>
      <c r="C326" s="4">
        <f>SUM(C318:C325)</f>
        <v>60612869.25964801</v>
      </c>
      <c r="D326" s="376">
        <f>SUM(D318:E325)</f>
        <v>124088755.08137998</v>
      </c>
      <c r="E326" s="376">
        <f>SUM(E318:E325)</f>
        <v>0</v>
      </c>
      <c r="F326" s="160">
        <f t="shared" si="26"/>
        <v>-0.51153616441798588</v>
      </c>
      <c r="G326" s="376">
        <f>SUM(G318:H325)</f>
        <v>53383709.416497998</v>
      </c>
      <c r="H326" s="376">
        <f>SUM(H318:H325)</f>
        <v>0</v>
      </c>
      <c r="I326" s="160">
        <f t="shared" si="27"/>
        <v>0.13541883698542448</v>
      </c>
    </row>
    <row r="327" spans="1:9" x14ac:dyDescent="0.25">
      <c r="A327" s="134" t="s">
        <v>15</v>
      </c>
      <c r="B327" s="236"/>
      <c r="C327" s="3"/>
      <c r="D327" s="236"/>
      <c r="E327" s="136"/>
      <c r="F327" s="171" t="s">
        <v>168</v>
      </c>
      <c r="G327" s="236"/>
      <c r="H327" s="136"/>
      <c r="I327" s="171"/>
    </row>
    <row r="328" spans="1:9" x14ac:dyDescent="0.25">
      <c r="A328" s="236" t="s">
        <v>428</v>
      </c>
      <c r="B328" s="236"/>
      <c r="C328" s="3">
        <f>SUMIFS(Data!$AA:$AA,Data!$Z:$Z,MarketProfile!A328,Data!$AE:$AE,"0")/1000</f>
        <v>0</v>
      </c>
      <c r="D328" s="375">
        <f>SUMIFS(Data!$AO:$AO,Data!$AN:$AN,MarketProfile!A328,Data!$AS:$AS,"0")/1000</f>
        <v>1176.0889999999999</v>
      </c>
      <c r="E328" s="375"/>
      <c r="F328" s="171">
        <f t="shared" ref="F328:F336" si="28">IFERROR(IF(OR(AND(D328="",C328=""),AND(D328=0,C328=0)),"",
IF(OR(D328="",D328=0),1,
IF(OR(D328&lt;&gt;"",D328&lt;&gt;0),(C328-D328)/ABS(D328)))),-1)</f>
        <v>-1</v>
      </c>
      <c r="G328" s="375">
        <f>SUMIFS(Data!$BC:$BC,Data!$BB:$BB,MarketProfile!A328,Data!BG:BG,"0")/1000</f>
        <v>43.2</v>
      </c>
      <c r="H328" s="375"/>
      <c r="I328" s="171">
        <f t="shared" ref="I328:I336" si="29">IFERROR(IF(OR(AND(G328="",C328=""),AND(G328=0,C328=0)),"",
IF(OR(G328="",G328=0),1,
IF(OR(G328&lt;&gt;"",G328&lt;&gt;0),(C328-G328)/ABS(G328)))),-1)</f>
        <v>-1</v>
      </c>
    </row>
    <row r="329" spans="1:9" x14ac:dyDescent="0.25">
      <c r="A329" s="236" t="s">
        <v>161</v>
      </c>
      <c r="B329" s="236"/>
      <c r="C329" s="3">
        <f>SUMIFS(Data!$AA:$AA,Data!$Z:$Z,MarketProfile!A329,Data!$AE:$AE,"0")/1000</f>
        <v>7598.0478200000007</v>
      </c>
      <c r="D329" s="375">
        <f>SUMIFS(Data!$AO:$AO,Data!$AN:$AN,MarketProfile!A329,Data!$AS:$AS,"0")/1000</f>
        <v>4179.8874999999998</v>
      </c>
      <c r="E329" s="375"/>
      <c r="F329" s="171">
        <f t="shared" si="28"/>
        <v>0.81776371254011049</v>
      </c>
      <c r="G329" s="375">
        <f>SUMIFS(Data!$BC:$BC,Data!$BB:$BB,MarketProfile!A329,Data!BG:BG,"0")/1000</f>
        <v>5895.7226200000005</v>
      </c>
      <c r="H329" s="375"/>
      <c r="I329" s="171">
        <f t="shared" si="29"/>
        <v>0.28873902483560193</v>
      </c>
    </row>
    <row r="330" spans="1:9" x14ac:dyDescent="0.25">
      <c r="A330" s="236" t="s">
        <v>429</v>
      </c>
      <c r="B330" s="236"/>
      <c r="C330" s="3">
        <f>SUMIFS(Data!$AA:$AA,Data!$Z:$Z,MarketProfile!A330,Data!$AE:$AE,"0")/1000</f>
        <v>46873.722700000006</v>
      </c>
      <c r="D330" s="375">
        <f>SUMIFS(Data!$AO:$AO,Data!$AN:$AN,MarketProfile!A330,Data!$AS:$AS,"0")/1000</f>
        <v>52289.325729999997</v>
      </c>
      <c r="E330" s="375"/>
      <c r="F330" s="171">
        <f t="shared" si="28"/>
        <v>-0.10356995341580572</v>
      </c>
      <c r="G330" s="375">
        <f>SUMIFS(Data!$BC:$BC,Data!$BB:$BB,MarketProfile!A330,Data!BG:BG,"0")/1000</f>
        <v>27145.33812</v>
      </c>
      <c r="H330" s="375"/>
      <c r="I330" s="171">
        <f t="shared" si="29"/>
        <v>0.72676879148779616</v>
      </c>
    </row>
    <row r="331" spans="1:9" x14ac:dyDescent="0.25">
      <c r="A331" s="236" t="s">
        <v>126</v>
      </c>
      <c r="B331" s="236"/>
      <c r="C331" s="3">
        <f>SUMIFS(Data!$AA:$AA,Data!$Z:$Z,MarketProfile!A331,Data!$AE:$AE,"0")/1000</f>
        <v>0</v>
      </c>
      <c r="D331" s="375">
        <f>SUMIFS(Data!$AO:$AO,Data!$AN:$AN,MarketProfile!A331,Data!$AS:$AS,"0")/1000</f>
        <v>0</v>
      </c>
      <c r="E331" s="375"/>
      <c r="F331" s="171" t="str">
        <f t="shared" si="28"/>
        <v/>
      </c>
      <c r="G331" s="375">
        <f>SUMIFS(Data!$BC:$BC,Data!$BB:$BB,MarketProfile!A331,Data!BG:BG,"0")/1000</f>
        <v>0</v>
      </c>
      <c r="H331" s="375"/>
      <c r="I331" s="171" t="str">
        <f t="shared" si="29"/>
        <v/>
      </c>
    </row>
    <row r="332" spans="1:9" x14ac:dyDescent="0.25">
      <c r="A332" s="236" t="s">
        <v>430</v>
      </c>
      <c r="B332" s="236"/>
      <c r="C332" s="3">
        <f>SUMIFS(Data!$AA:$AA,Data!$Z:$Z,MarketProfile!A332,Data!$AE:$AE,"0")/1000</f>
        <v>11347.19116</v>
      </c>
      <c r="D332" s="375">
        <f>SUMIFS(Data!$AO:$AO,Data!$AN:$AN,MarketProfile!A332,Data!$AS:$AS,"0")/1000</f>
        <v>11401.612999999999</v>
      </c>
      <c r="E332" s="375"/>
      <c r="F332" s="171">
        <f t="shared" si="28"/>
        <v>-4.7731702523142183E-3</v>
      </c>
      <c r="G332" s="375">
        <f>SUMIFS(Data!$BC:$BC,Data!$BB:$BB,MarketProfile!A332,Data!BG:BG,"0")/1000</f>
        <v>2262.9409999999998</v>
      </c>
      <c r="H332" s="375"/>
      <c r="I332" s="171">
        <f t="shared" si="29"/>
        <v>4.0143557255801188</v>
      </c>
    </row>
    <row r="333" spans="1:9" x14ac:dyDescent="0.25">
      <c r="A333" s="236" t="s">
        <v>431</v>
      </c>
      <c r="B333" s="236"/>
      <c r="C333" s="3">
        <f>SUMIFS(Data!$AA:$AA,Data!$Z:$Z,MarketProfile!A333,Data!$AE:$AE,"0")/1000</f>
        <v>55514.883649999996</v>
      </c>
      <c r="D333" s="375">
        <f>SUMIFS(Data!$AO:$AO,Data!$AN:$AN,MarketProfile!A333,Data!$AS:$AS,"0")/1000</f>
        <v>58650.432529999998</v>
      </c>
      <c r="E333" s="375"/>
      <c r="F333" s="171">
        <f>IFERROR(IF(OR(AND(D333="",C333=""),AND(D333=0,C333=0)),"",
IF(OR(D333="",D333=0),1,
IF(OR(D333&lt;&gt;"",D333&lt;&gt;0),(C333-D333)/ABS(D333)))),-1)</f>
        <v>-5.3461649722636791E-2</v>
      </c>
      <c r="G333" s="375">
        <f>SUMIFS(Data!$BC:$BC,Data!$BB:$BB,MarketProfile!A333,Data!BG:BG,"0")/1000</f>
        <v>89102.284569999989</v>
      </c>
      <c r="H333" s="375"/>
      <c r="I333" s="171">
        <f t="shared" si="29"/>
        <v>-0.3769533080110114</v>
      </c>
    </row>
    <row r="334" spans="1:9" x14ac:dyDescent="0.25">
      <c r="A334" s="236" t="s">
        <v>432</v>
      </c>
      <c r="B334" s="236"/>
      <c r="C334" s="3">
        <f>SUMIFS(Data!$AA:$AA,Data!$Z:$Z,MarketProfile!A334,Data!$AE:$AE,"0")/1000</f>
        <v>0</v>
      </c>
      <c r="D334" s="375">
        <f>SUMIFS(Data!$AO:$AO,Data!$AN:$AN,MarketProfile!A334,Data!$AS:$AS,"0")/1000</f>
        <v>0</v>
      </c>
      <c r="E334" s="375"/>
      <c r="F334" s="171" t="str">
        <f t="shared" si="28"/>
        <v/>
      </c>
      <c r="G334" s="375">
        <f>SUMIFS(Data!$BC:$BC,Data!$BB:$BB,MarketProfile!A334,Data!BG:BG,"0")/1000</f>
        <v>0</v>
      </c>
      <c r="H334" s="375"/>
      <c r="I334" s="171" t="str">
        <f t="shared" si="29"/>
        <v/>
      </c>
    </row>
    <row r="335" spans="1:9" x14ac:dyDescent="0.25">
      <c r="A335" s="236" t="s">
        <v>127</v>
      </c>
      <c r="B335" s="236"/>
      <c r="C335" s="3">
        <f>SUMIFS(Data!$AA:$AA,Data!$Z:$Z,MarketProfile!A335,Data!$AE:$AE,"0")/1000</f>
        <v>0</v>
      </c>
      <c r="D335" s="375">
        <f>SUMIFS(Data!$AO:$AO,Data!$AN:$AN,MarketProfile!A335,Data!$AS:$AS,"0")/1000</f>
        <v>0</v>
      </c>
      <c r="E335" s="375"/>
      <c r="F335" s="171" t="str">
        <f t="shared" si="28"/>
        <v/>
      </c>
      <c r="G335" s="375">
        <f>SUMIFS(Data!$BC:$BC,Data!$BB:$BB,MarketProfile!A335,Data!BG:BG,"0")/1000</f>
        <v>0</v>
      </c>
      <c r="H335" s="375"/>
      <c r="I335" s="171" t="str">
        <f t="shared" si="29"/>
        <v/>
      </c>
    </row>
    <row r="336" spans="1:9" x14ac:dyDescent="0.25">
      <c r="A336" s="235" t="s">
        <v>165</v>
      </c>
      <c r="B336" s="236"/>
      <c r="C336" s="4">
        <f>SUM(C328:C335)</f>
        <v>121333.84533000001</v>
      </c>
      <c r="D336" s="376">
        <f>SUM(D328:E335)</f>
        <v>127697.34776</v>
      </c>
      <c r="E336" s="376">
        <f>SUM(E328:E335)</f>
        <v>0</v>
      </c>
      <c r="F336" s="160">
        <f t="shared" si="28"/>
        <v>-4.9832690667623254E-2</v>
      </c>
      <c r="G336" s="376">
        <f>SUM(G328:H335)</f>
        <v>124449.48630999998</v>
      </c>
      <c r="H336" s="376">
        <f>SUM(H328:H335)</f>
        <v>0</v>
      </c>
      <c r="I336" s="160">
        <f t="shared" si="29"/>
        <v>-2.5035386423685174E-2</v>
      </c>
    </row>
    <row r="337" spans="1:9" x14ac:dyDescent="0.25">
      <c r="A337" s="132" t="s">
        <v>124</v>
      </c>
      <c r="B337" s="132"/>
      <c r="C337" s="162"/>
      <c r="D337" s="132"/>
      <c r="E337" s="132"/>
      <c r="F337" s="132" t="s">
        <v>168</v>
      </c>
      <c r="G337" s="132"/>
      <c r="H337" s="132"/>
      <c r="I337" s="161" t="s">
        <v>168</v>
      </c>
    </row>
    <row r="338" spans="1:9" x14ac:dyDescent="0.25">
      <c r="A338" s="134" t="s">
        <v>14</v>
      </c>
      <c r="B338" s="236"/>
      <c r="C338" s="3"/>
      <c r="D338" s="236"/>
      <c r="E338" s="236"/>
      <c r="F338" s="236"/>
      <c r="G338" s="236"/>
      <c r="H338" s="236"/>
      <c r="I338" s="171"/>
    </row>
    <row r="339" spans="1:9" x14ac:dyDescent="0.25">
      <c r="A339" s="236" t="s">
        <v>428</v>
      </c>
      <c r="B339" s="236"/>
      <c r="C339" s="3">
        <f>SUMIFS(Data!$AK:$AK,Data!$AG:$AG,MarketProfile!A339,Data!$AL:$AL,"1")</f>
        <v>16291</v>
      </c>
      <c r="D339" s="375">
        <f>SUMIFS(Data!$AY:$AY,Data!$AU:$AU,MarketProfile!A339,Data!$AZ:$AZ,"1")</f>
        <v>21762</v>
      </c>
      <c r="E339" s="375"/>
      <c r="F339" s="171">
        <f t="shared" ref="F339:F354" si="30">IFERROR(IF(OR(AND(D339="",C339=""),AND(D339=0,C339=0)),"",
IF(OR(D339="",D339=0),1,
IF(OR(D339&lt;&gt;"",D339&lt;&gt;0),(C339-D339)/ABS(D339)))),-1)</f>
        <v>-0.251401525595074</v>
      </c>
      <c r="G339" s="375">
        <f>SUMIFS(Data!$BL:$BL,Data!$BH:$BH,MarketProfile!A339,Data!$BM:$BM,"1")</f>
        <v>25721</v>
      </c>
      <c r="H339" s="375"/>
      <c r="I339" s="171">
        <f t="shared" ref="I339:I346" si="31">IFERROR(IF(OR(AND(G339="",C339=""),AND(G339=0,C339=0)),"",
IF(OR(G339="",G339=0),1,
IF(OR(G339&lt;&gt;"",G339&lt;&gt;0),(C339-G339)/ABS(G339)))),-1)</f>
        <v>-0.36662649197154079</v>
      </c>
    </row>
    <row r="340" spans="1:9" x14ac:dyDescent="0.25">
      <c r="A340" s="236" t="s">
        <v>161</v>
      </c>
      <c r="B340" s="236"/>
      <c r="C340" s="3">
        <f>SUMIFS(Data!$AK:$AK,Data!$AG:$AG,MarketProfile!A340,Data!$AL:$AL,"1")</f>
        <v>9082</v>
      </c>
      <c r="D340" s="375">
        <f>SUMIFS(Data!$AY:$AY,Data!$AU:$AU,MarketProfile!A340,Data!$AZ:$AZ,"1")</f>
        <v>11423</v>
      </c>
      <c r="E340" s="375"/>
      <c r="F340" s="171">
        <f t="shared" si="30"/>
        <v>-0.20493740698590562</v>
      </c>
      <c r="G340" s="375">
        <f>SUMIFS(Data!$BL:$BL,Data!$BH:$BH,MarketProfile!A340,Data!$BM:$BM,"1")</f>
        <v>10143</v>
      </c>
      <c r="H340" s="375"/>
      <c r="I340" s="171">
        <f t="shared" si="31"/>
        <v>-0.10460416050478162</v>
      </c>
    </row>
    <row r="341" spans="1:9" x14ac:dyDescent="0.25">
      <c r="A341" s="236" t="s">
        <v>429</v>
      </c>
      <c r="B341" s="236"/>
      <c r="C341" s="3">
        <f>SUMIFS(Data!$AK:$AK,Data!$AG:$AG,MarketProfile!A341,Data!$AL:$AL,"1")</f>
        <v>35795</v>
      </c>
      <c r="D341" s="375">
        <f>SUMIFS(Data!$AY:$AY,Data!$AU:$AU,MarketProfile!A341,Data!$AZ:$AZ,"1")</f>
        <v>47334</v>
      </c>
      <c r="E341" s="375"/>
      <c r="F341" s="171">
        <f t="shared" si="30"/>
        <v>-0.24377825664427261</v>
      </c>
      <c r="G341" s="375">
        <f>SUMIFS(Data!$BL:$BL,Data!$BH:$BH,MarketProfile!A341,Data!$BM:$BM,"1")</f>
        <v>29500</v>
      </c>
      <c r="H341" s="375"/>
      <c r="I341" s="171">
        <f t="shared" si="31"/>
        <v>0.21338983050847457</v>
      </c>
    </row>
    <row r="342" spans="1:9" x14ac:dyDescent="0.25">
      <c r="A342" s="236" t="s">
        <v>126</v>
      </c>
      <c r="B342" s="236"/>
      <c r="C342" s="3">
        <f>SUMIFS(Data!$AK:$AK,Data!$AG:$AG,MarketProfile!A342,Data!$AL:$AL,"1")</f>
        <v>376</v>
      </c>
      <c r="D342" s="375">
        <f>SUMIFS(Data!$AY:$AY,Data!$AU:$AU,MarketProfile!A342,Data!$AZ:$AZ,"1")</f>
        <v>403</v>
      </c>
      <c r="E342" s="375"/>
      <c r="F342" s="171">
        <f t="shared" si="30"/>
        <v>-6.699751861042183E-2</v>
      </c>
      <c r="G342" s="375">
        <f>SUMIFS(Data!$BL:$BL,Data!$BH:$BH,MarketProfile!A342,Data!$BM:$BM,"1")</f>
        <v>158</v>
      </c>
      <c r="H342" s="375"/>
      <c r="I342" s="171">
        <f t="shared" si="31"/>
        <v>1.379746835443038</v>
      </c>
    </row>
    <row r="343" spans="1:9" x14ac:dyDescent="0.25">
      <c r="A343" s="236" t="s">
        <v>430</v>
      </c>
      <c r="B343" s="236"/>
      <c r="C343" s="3">
        <f>SUMIFS(Data!$AK:$AK,Data!$AG:$AG,MarketProfile!A343,Data!$AL:$AL,"1")</f>
        <v>3928</v>
      </c>
      <c r="D343" s="375">
        <f>SUMIFS(Data!$AY:$AY,Data!$AU:$AU,MarketProfile!A343,Data!$AZ:$AZ,"1")</f>
        <v>4540</v>
      </c>
      <c r="E343" s="375"/>
      <c r="F343" s="171">
        <f t="shared" si="30"/>
        <v>-0.13480176211453745</v>
      </c>
      <c r="G343" s="375">
        <f>SUMIFS(Data!$BL:$BL,Data!$BH:$BH,MarketProfile!A343,Data!$BM:$BM,"1")</f>
        <v>4916</v>
      </c>
      <c r="H343" s="375"/>
      <c r="I343" s="171">
        <f t="shared" si="31"/>
        <v>-0.20097640358014646</v>
      </c>
    </row>
    <row r="344" spans="1:9" x14ac:dyDescent="0.25">
      <c r="A344" s="236" t="s">
        <v>431</v>
      </c>
      <c r="B344" s="236"/>
      <c r="C344" s="3">
        <f>SUMIFS(Data!$AK:$AK,Data!$AG:$AG,MarketProfile!A344,Data!$AL:$AL,"1")</f>
        <v>30991</v>
      </c>
      <c r="D344" s="375">
        <f>SUMIFS(Data!$AY:$AY,Data!$AU:$AU,MarketProfile!A344,Data!$AZ:$AZ,"1")</f>
        <v>34393</v>
      </c>
      <c r="E344" s="375"/>
      <c r="F344" s="171">
        <f t="shared" si="30"/>
        <v>-9.8915476986596113E-2</v>
      </c>
      <c r="G344" s="375">
        <f>SUMIFS(Data!$BL:$BL,Data!$BH:$BH,MarketProfile!A344,Data!$BM:$BM,"1")</f>
        <v>27466</v>
      </c>
      <c r="H344" s="375"/>
      <c r="I344" s="171">
        <f t="shared" si="31"/>
        <v>0.12834049370130343</v>
      </c>
    </row>
    <row r="345" spans="1:9" x14ac:dyDescent="0.25">
      <c r="A345" s="236" t="s">
        <v>432</v>
      </c>
      <c r="B345" s="236"/>
      <c r="C345" s="3">
        <f>SUMIFS(Data!$AK:$AK,Data!$AG:$AG,MarketProfile!A345,Data!$AL:$AL,"1")</f>
        <v>92</v>
      </c>
      <c r="D345" s="375">
        <f>SUMIFS(Data!$AY:$AY,Data!$AU:$AU,MarketProfile!A345,Data!$AZ:$AZ,"1")</f>
        <v>131</v>
      </c>
      <c r="E345" s="375"/>
      <c r="F345" s="171">
        <f t="shared" si="30"/>
        <v>-0.29770992366412213</v>
      </c>
      <c r="G345" s="375">
        <f>SUMIFS(Data!$BL:$BL,Data!$BH:$BH,MarketProfile!A345,Data!$BM:$BM,"1")</f>
        <v>100</v>
      </c>
      <c r="H345" s="375"/>
      <c r="I345" s="171">
        <f t="shared" si="31"/>
        <v>-0.08</v>
      </c>
    </row>
    <row r="346" spans="1:9" x14ac:dyDescent="0.25">
      <c r="A346" s="236" t="s">
        <v>127</v>
      </c>
      <c r="B346" s="236"/>
      <c r="C346" s="3">
        <f>SUMIFS(Data!$AK:$AK,Data!$AG:$AG,MarketProfile!A346,Data!$AL:$AL,"1")</f>
        <v>3</v>
      </c>
      <c r="D346" s="375">
        <f>SUMIFS(Data!$AY:$AY,Data!$AU:$AU,MarketProfile!A346,Data!$AZ:$AZ,"1")</f>
        <v>3</v>
      </c>
      <c r="E346" s="375"/>
      <c r="F346" s="171">
        <f t="shared" si="30"/>
        <v>0</v>
      </c>
      <c r="G346" s="375">
        <f>SUMIFS(Data!$BL:$BL,Data!$BH:$BH,MarketProfile!A346,Data!$BM:$BM,"1")</f>
        <v>8</v>
      </c>
      <c r="H346" s="375"/>
      <c r="I346" s="171">
        <f t="shared" si="31"/>
        <v>-0.625</v>
      </c>
    </row>
    <row r="347" spans="1:9" x14ac:dyDescent="0.25">
      <c r="A347" s="134" t="s">
        <v>15</v>
      </c>
      <c r="B347" s="236"/>
      <c r="C347" s="3"/>
      <c r="D347" s="236"/>
      <c r="E347" s="3"/>
      <c r="F347" s="171"/>
      <c r="G347" s="236"/>
      <c r="H347" s="3"/>
      <c r="I347" s="171"/>
    </row>
    <row r="348" spans="1:9" x14ac:dyDescent="0.25">
      <c r="A348" s="236" t="s">
        <v>428</v>
      </c>
      <c r="B348" s="236"/>
      <c r="C348" s="3">
        <f>SUMIFS(Data!$AK:$AK,Data!$AG:$AG,MarketProfile!A348,Data!$AL:$AL,"0")</f>
        <v>43</v>
      </c>
      <c r="D348" s="375">
        <f>SUMIFS(Data!$AY:$AY,Data!$AU:$AU,MarketProfile!A348,Data!$AZ:$AZ,"0")</f>
        <v>43</v>
      </c>
      <c r="E348" s="375"/>
      <c r="F348" s="171">
        <f t="shared" si="30"/>
        <v>0</v>
      </c>
      <c r="G348" s="375">
        <f>SUMIFS(Data!$BL:$BL,Data!$BH:$BH,MarketProfile!A348,Data!$BM:$BM,"0")</f>
        <v>45</v>
      </c>
      <c r="H348" s="375"/>
      <c r="I348" s="171">
        <f t="shared" ref="I348:I355" si="32">IFERROR(IF(OR(AND(G348="",C348=""),AND(G348=0,C348=0)),"",
IF(OR(G348="",G348=0),1,
IF(OR(G348&lt;&gt;"",G348&lt;&gt;0),(C348-G348)/ABS(G348)))),-1)</f>
        <v>-4.4444444444444446E-2</v>
      </c>
    </row>
    <row r="349" spans="1:9" x14ac:dyDescent="0.25">
      <c r="A349" s="236" t="s">
        <v>161</v>
      </c>
      <c r="B349" s="236"/>
      <c r="C349" s="3">
        <f>SUMIFS(Data!$AK:$AK,Data!$AG:$AG,MarketProfile!A349,Data!$AL:$AL,"0")</f>
        <v>1101</v>
      </c>
      <c r="D349" s="375">
        <f>SUMIFS(Data!$AY:$AY,Data!$AU:$AU,MarketProfile!A349,Data!$AZ:$AZ,"0")</f>
        <v>491</v>
      </c>
      <c r="E349" s="375"/>
      <c r="F349" s="171">
        <f t="shared" si="30"/>
        <v>1.2423625254582484</v>
      </c>
      <c r="G349" s="375">
        <f>SUMIFS(Data!$BL:$BL,Data!$BH:$BH,MarketProfile!A349,Data!$BM:$BM,"0")</f>
        <v>4038</v>
      </c>
      <c r="H349" s="375"/>
      <c r="I349" s="171">
        <f t="shared" si="32"/>
        <v>-0.72734026745913816</v>
      </c>
    </row>
    <row r="350" spans="1:9" x14ac:dyDescent="0.25">
      <c r="A350" s="236" t="s">
        <v>429</v>
      </c>
      <c r="B350" s="236"/>
      <c r="C350" s="3">
        <f>SUMIFS(Data!$AK:$AK,Data!$AG:$AG,MarketProfile!A350,Data!$AL:$AL,"0")</f>
        <v>10422</v>
      </c>
      <c r="D350" s="375">
        <f>SUMIFS(Data!$AY:$AY,Data!$AU:$AU,MarketProfile!A350,Data!$AZ:$AZ,"0")</f>
        <v>8822</v>
      </c>
      <c r="E350" s="375"/>
      <c r="F350" s="171">
        <f t="shared" si="30"/>
        <v>0.18136476989344819</v>
      </c>
      <c r="G350" s="375">
        <f>SUMIFS(Data!$BL:$BL,Data!$BH:$BH,MarketProfile!A350,Data!$BM:$BM,"0")</f>
        <v>17224</v>
      </c>
      <c r="H350" s="375"/>
      <c r="I350" s="171">
        <f t="shared" si="32"/>
        <v>-0.39491407338597306</v>
      </c>
    </row>
    <row r="351" spans="1:9" x14ac:dyDescent="0.25">
      <c r="A351" s="236" t="s">
        <v>126</v>
      </c>
      <c r="B351" s="236"/>
      <c r="C351" s="3">
        <f>SUMIFS(Data!$AK:$AK,Data!$AG:$AG,MarketProfile!A351,Data!$AL:$AL,"0")</f>
        <v>0</v>
      </c>
      <c r="D351" s="375">
        <f>SUMIFS(Data!$AY:$AY,Data!$AU:$AU,MarketProfile!A351,Data!$AZ:$AZ,"0")</f>
        <v>0</v>
      </c>
      <c r="E351" s="375"/>
      <c r="F351" s="171" t="str">
        <f t="shared" si="30"/>
        <v/>
      </c>
      <c r="G351" s="375">
        <f>SUMIFS(Data!$BL:$BL,Data!$BH:$BH,MarketProfile!A351,Data!$BM:$BM,"0")</f>
        <v>0</v>
      </c>
      <c r="H351" s="375"/>
      <c r="I351" s="171" t="str">
        <f t="shared" si="32"/>
        <v/>
      </c>
    </row>
    <row r="352" spans="1:9" x14ac:dyDescent="0.25">
      <c r="A352" s="236" t="s">
        <v>430</v>
      </c>
      <c r="B352" s="236"/>
      <c r="C352" s="3">
        <f>SUMIFS(Data!$AK:$AK,Data!$AG:$AG,MarketProfile!A352,Data!$AL:$AL,"0")</f>
        <v>1725</v>
      </c>
      <c r="D352" s="375">
        <f>SUMIFS(Data!$AY:$AY,Data!$AU:$AU,MarketProfile!A352,Data!$AZ:$AZ,"0")</f>
        <v>1168</v>
      </c>
      <c r="E352" s="375"/>
      <c r="F352" s="171">
        <f t="shared" si="30"/>
        <v>0.47688356164383561</v>
      </c>
      <c r="G352" s="375">
        <f>SUMIFS(Data!$BL:$BL,Data!$BH:$BH,MarketProfile!A352,Data!$BM:$BM,"0")</f>
        <v>813</v>
      </c>
      <c r="H352" s="375"/>
      <c r="I352" s="171">
        <f t="shared" si="32"/>
        <v>1.121771217712177</v>
      </c>
    </row>
    <row r="353" spans="1:9" x14ac:dyDescent="0.25">
      <c r="A353" s="236" t="s">
        <v>431</v>
      </c>
      <c r="B353" s="236"/>
      <c r="C353" s="3">
        <f>SUMIFS(Data!$AK:$AK,Data!$AG:$AG,MarketProfile!A353,Data!$AL:$AL,"0")</f>
        <v>11909</v>
      </c>
      <c r="D353" s="375">
        <f>SUMIFS(Data!$AY:$AY,Data!$AU:$AU,MarketProfile!A353,Data!$AZ:$AZ,"0")</f>
        <v>9661</v>
      </c>
      <c r="E353" s="375"/>
      <c r="F353" s="171">
        <f t="shared" si="30"/>
        <v>0.23268812752303075</v>
      </c>
      <c r="G353" s="375">
        <f>SUMIFS(Data!$BL:$BL,Data!$BH:$BH,MarketProfile!A353,Data!$BM:$BM,"0")</f>
        <v>24348</v>
      </c>
      <c r="H353" s="375"/>
      <c r="I353" s="171">
        <f t="shared" si="32"/>
        <v>-0.51088385082963694</v>
      </c>
    </row>
    <row r="354" spans="1:9" x14ac:dyDescent="0.25">
      <c r="A354" s="236" t="s">
        <v>432</v>
      </c>
      <c r="B354" s="236"/>
      <c r="C354" s="3">
        <f>SUMIFS(Data!$AK:$AK,Data!$AG:$AG,MarketProfile!A354,Data!$AL:$AL,"0")</f>
        <v>0</v>
      </c>
      <c r="D354" s="375">
        <f>SUMIFS(Data!$AY:$AY,Data!$AU:$AU,MarketProfile!A354,Data!$AZ:$AZ,"0")</f>
        <v>0</v>
      </c>
      <c r="E354" s="375"/>
      <c r="F354" s="171" t="str">
        <f t="shared" si="30"/>
        <v/>
      </c>
      <c r="G354" s="375">
        <f>SUMIFS(Data!$BL:$BL,Data!$BH:$BH,MarketProfile!A354,Data!$BM:$BM,"0")</f>
        <v>0</v>
      </c>
      <c r="H354" s="375"/>
      <c r="I354" s="171" t="str">
        <f t="shared" si="32"/>
        <v/>
      </c>
    </row>
    <row r="355" spans="1:9" x14ac:dyDescent="0.25">
      <c r="A355" s="236" t="s">
        <v>127</v>
      </c>
      <c r="B355" s="236"/>
      <c r="C355" s="3">
        <f>SUMIFS(Data!$AK:$AK,Data!$AG:$AG,MarketProfile!A355,Data!$AL:$AL,"0")</f>
        <v>0</v>
      </c>
      <c r="D355" s="375">
        <f>SUMIFS(Data!$AY:$AY,Data!$AU:$AU,MarketProfile!A355,Data!$AZ:$AZ,"0")</f>
        <v>0</v>
      </c>
      <c r="E355" s="375"/>
      <c r="F355" s="171" t="str">
        <f t="shared" ref="F355" si="33">IFERROR(IF(OR(AND(C355="",D355=""),AND(C355=0,D355=0)),"",
IF(OR(C355="",C355=0),1,
IF(OR(C355&lt;&gt;"",C355&lt;&gt;0),(D355-C355)/ABS(C355)))),-1)</f>
        <v/>
      </c>
      <c r="G355" s="375">
        <f>SUMIFS(Data!$BL:$BL,Data!$BH:$BH,MarketProfile!A355,Data!$BM:$BM,"0")</f>
        <v>0</v>
      </c>
      <c r="H355" s="375"/>
      <c r="I355" s="171" t="str">
        <f t="shared" si="32"/>
        <v/>
      </c>
    </row>
    <row r="356" spans="1:9" x14ac:dyDescent="0.25">
      <c r="A356" s="236"/>
      <c r="B356" s="236"/>
      <c r="C356" s="236"/>
      <c r="D356" s="236"/>
      <c r="E356" s="236"/>
      <c r="F356" s="236"/>
      <c r="G356" s="236"/>
      <c r="H356" s="236"/>
      <c r="I356" s="236"/>
    </row>
  </sheetData>
  <mergeCells count="162">
    <mergeCell ref="D276:E276"/>
    <mergeCell ref="G276:H276"/>
    <mergeCell ref="F96:H97"/>
    <mergeCell ref="G107:H107"/>
    <mergeCell ref="G8:I9"/>
    <mergeCell ref="A13:A15"/>
    <mergeCell ref="G109:H109"/>
    <mergeCell ref="G110:H110"/>
    <mergeCell ref="G111:H111"/>
    <mergeCell ref="D107:E107"/>
    <mergeCell ref="D109:E109"/>
    <mergeCell ref="D110:E110"/>
    <mergeCell ref="D111:E111"/>
    <mergeCell ref="E195:H196"/>
    <mergeCell ref="A271:A272"/>
    <mergeCell ref="G197:G199"/>
    <mergeCell ref="E271:I272"/>
    <mergeCell ref="F127:I127"/>
    <mergeCell ref="E198:E199"/>
    <mergeCell ref="F198:F199"/>
    <mergeCell ref="I198:I199"/>
    <mergeCell ref="H197:H199"/>
    <mergeCell ref="A258:C259"/>
    <mergeCell ref="F123:H124"/>
    <mergeCell ref="D282:E282"/>
    <mergeCell ref="D283:E283"/>
    <mergeCell ref="D284:E284"/>
    <mergeCell ref="D286:E286"/>
    <mergeCell ref="D287:E287"/>
    <mergeCell ref="D277:E277"/>
    <mergeCell ref="D278:E278"/>
    <mergeCell ref="D279:E279"/>
    <mergeCell ref="D280:E280"/>
    <mergeCell ref="D281:E281"/>
    <mergeCell ref="D293:E293"/>
    <mergeCell ref="D294:E294"/>
    <mergeCell ref="D297:E297"/>
    <mergeCell ref="D298:E298"/>
    <mergeCell ref="D299:E299"/>
    <mergeCell ref="D288:E288"/>
    <mergeCell ref="D289:E289"/>
    <mergeCell ref="D290:E290"/>
    <mergeCell ref="D291:E291"/>
    <mergeCell ref="D292:E292"/>
    <mergeCell ref="D323:E323"/>
    <mergeCell ref="D307:E307"/>
    <mergeCell ref="D308:E308"/>
    <mergeCell ref="D309:E309"/>
    <mergeCell ref="D310:E310"/>
    <mergeCell ref="D300:E300"/>
    <mergeCell ref="D301:E301"/>
    <mergeCell ref="D302:E302"/>
    <mergeCell ref="D303:E303"/>
    <mergeCell ref="D304:E304"/>
    <mergeCell ref="D334:E334"/>
    <mergeCell ref="D335:E335"/>
    <mergeCell ref="D336:E336"/>
    <mergeCell ref="D339:E339"/>
    <mergeCell ref="D340:E340"/>
    <mergeCell ref="D329:E329"/>
    <mergeCell ref="D330:E330"/>
    <mergeCell ref="D331:E331"/>
    <mergeCell ref="D332:E332"/>
    <mergeCell ref="D333:E333"/>
    <mergeCell ref="D346:E346"/>
    <mergeCell ref="D348:E348"/>
    <mergeCell ref="D349:E349"/>
    <mergeCell ref="D350:E350"/>
    <mergeCell ref="D351:E351"/>
    <mergeCell ref="D341:E341"/>
    <mergeCell ref="D342:E342"/>
    <mergeCell ref="D343:E343"/>
    <mergeCell ref="D344:E344"/>
    <mergeCell ref="D345:E345"/>
    <mergeCell ref="G277:H277"/>
    <mergeCell ref="G278:H278"/>
    <mergeCell ref="G279:H279"/>
    <mergeCell ref="G280:H280"/>
    <mergeCell ref="G281:H281"/>
    <mergeCell ref="G282:H282"/>
    <mergeCell ref="G283:H283"/>
    <mergeCell ref="G284:H284"/>
    <mergeCell ref="G289:H289"/>
    <mergeCell ref="G286:H286"/>
    <mergeCell ref="G287:H287"/>
    <mergeCell ref="G288:H288"/>
    <mergeCell ref="G290:H290"/>
    <mergeCell ref="G291:H291"/>
    <mergeCell ref="G292:H292"/>
    <mergeCell ref="G293:H293"/>
    <mergeCell ref="D352:E352"/>
    <mergeCell ref="D353:E353"/>
    <mergeCell ref="D354:E354"/>
    <mergeCell ref="D355:E355"/>
    <mergeCell ref="D324:E324"/>
    <mergeCell ref="D325:E325"/>
    <mergeCell ref="D326:E326"/>
    <mergeCell ref="D328:E328"/>
    <mergeCell ref="D318:E318"/>
    <mergeCell ref="D319:E319"/>
    <mergeCell ref="D320:E320"/>
    <mergeCell ref="D321:E321"/>
    <mergeCell ref="D322:E322"/>
    <mergeCell ref="D311:E311"/>
    <mergeCell ref="D312:E312"/>
    <mergeCell ref="D313:E313"/>
    <mergeCell ref="D314:E314"/>
    <mergeCell ref="D315:E315"/>
    <mergeCell ref="D305:E305"/>
    <mergeCell ref="G301:H301"/>
    <mergeCell ref="G302:H302"/>
    <mergeCell ref="G303:H303"/>
    <mergeCell ref="G304:H304"/>
    <mergeCell ref="G305:H305"/>
    <mergeCell ref="G294:H294"/>
    <mergeCell ref="G297:H297"/>
    <mergeCell ref="G298:H298"/>
    <mergeCell ref="G299:H299"/>
    <mergeCell ref="G300:H300"/>
    <mergeCell ref="G312:H312"/>
    <mergeCell ref="G313:H313"/>
    <mergeCell ref="G314:H314"/>
    <mergeCell ref="G315:H315"/>
    <mergeCell ref="G318:H318"/>
    <mergeCell ref="G307:H307"/>
    <mergeCell ref="G308:H308"/>
    <mergeCell ref="G309:H309"/>
    <mergeCell ref="G310:H310"/>
    <mergeCell ref="G311:H311"/>
    <mergeCell ref="G324:H324"/>
    <mergeCell ref="G325:H325"/>
    <mergeCell ref="G326:H326"/>
    <mergeCell ref="G328:H328"/>
    <mergeCell ref="G329:H329"/>
    <mergeCell ref="G319:H319"/>
    <mergeCell ref="G320:H320"/>
    <mergeCell ref="G321:H321"/>
    <mergeCell ref="G322:H322"/>
    <mergeCell ref="G323:H323"/>
    <mergeCell ref="G353:H353"/>
    <mergeCell ref="G354:H354"/>
    <mergeCell ref="G355:H355"/>
    <mergeCell ref="G348:H348"/>
    <mergeCell ref="G349:H349"/>
    <mergeCell ref="G350:H350"/>
    <mergeCell ref="G351:H351"/>
    <mergeCell ref="G352:H352"/>
    <mergeCell ref="G342:H342"/>
    <mergeCell ref="G343:H343"/>
    <mergeCell ref="G344:H344"/>
    <mergeCell ref="G345:H345"/>
    <mergeCell ref="G346:H346"/>
    <mergeCell ref="G335:H335"/>
    <mergeCell ref="G336:H336"/>
    <mergeCell ref="G339:H339"/>
    <mergeCell ref="G340:H340"/>
    <mergeCell ref="G341:H341"/>
    <mergeCell ref="G330:H330"/>
    <mergeCell ref="G331:H331"/>
    <mergeCell ref="G332:H332"/>
    <mergeCell ref="G333:H333"/>
    <mergeCell ref="G334:H334"/>
  </mergeCells>
  <hyperlinks>
    <hyperlink ref="A254" r:id="rId1" display="https://www.jse.co.za/trade/derivative-market/equity-derivatives/reports" xr:uid="{00000000-0004-0000-0000-000000000000}"/>
    <hyperlink ref="A256"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2" manualBreakCount="2">
    <brk id="187" max="16383" man="1"/>
    <brk id="263"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674</v>
      </c>
      <c r="BU1" s="255" t="s">
        <v>675</v>
      </c>
      <c r="BV1" s="255" t="s">
        <v>676</v>
      </c>
      <c r="BW1" s="255" t="s">
        <v>677</v>
      </c>
      <c r="BX1" s="255" t="s">
        <v>678</v>
      </c>
      <c r="BY1" s="255" t="s">
        <v>679</v>
      </c>
      <c r="BZ1" s="255" t="s">
        <v>680</v>
      </c>
      <c r="CA1" s="255" t="s">
        <v>681</v>
      </c>
      <c r="CB1" s="255" t="s">
        <v>682</v>
      </c>
      <c r="CC1" s="256" t="s">
        <v>469</v>
      </c>
      <c r="CD1" s="257" t="s">
        <v>686</v>
      </c>
      <c r="CE1" s="257" t="s">
        <v>687</v>
      </c>
      <c r="CF1" s="256" t="s">
        <v>474</v>
      </c>
      <c r="CG1" s="255" t="s">
        <v>6</v>
      </c>
      <c r="CH1" s="255" t="s">
        <v>688</v>
      </c>
      <c r="CI1" s="256" t="s">
        <v>476</v>
      </c>
      <c r="CJ1" s="236" t="s">
        <v>107</v>
      </c>
      <c r="CK1" s="236">
        <v>20574</v>
      </c>
      <c r="CL1" s="256" t="s">
        <v>479</v>
      </c>
      <c r="CM1" s="236" t="s">
        <v>107</v>
      </c>
      <c r="CN1" s="236">
        <v>7855</v>
      </c>
      <c r="CO1" s="256" t="s">
        <v>482</v>
      </c>
      <c r="CP1" s="236" t="s">
        <v>107</v>
      </c>
      <c r="CQ1" s="236">
        <v>671</v>
      </c>
      <c r="CR1" s="256" t="s">
        <v>485</v>
      </c>
      <c r="CS1" s="265" t="s">
        <v>692</v>
      </c>
      <c r="CT1" s="264" t="s">
        <v>693</v>
      </c>
      <c r="CU1" s="264" t="s">
        <v>694</v>
      </c>
      <c r="CV1" s="264" t="s">
        <v>695</v>
      </c>
      <c r="CW1" s="264" t="s">
        <v>696</v>
      </c>
      <c r="CX1" s="264" t="s">
        <v>697</v>
      </c>
      <c r="CY1" s="264" t="s">
        <v>698</v>
      </c>
      <c r="CZ1" s="264" t="s">
        <v>699</v>
      </c>
      <c r="DA1" s="264" t="s">
        <v>700</v>
      </c>
      <c r="DB1" s="264" t="s">
        <v>701</v>
      </c>
      <c r="DC1" s="264" t="s">
        <v>702</v>
      </c>
      <c r="DD1" s="264" t="s">
        <v>703</v>
      </c>
      <c r="DF1" s="336" t="s">
        <v>496</v>
      </c>
      <c r="DG1" s="327" t="s">
        <v>714</v>
      </c>
      <c r="DH1" s="327" t="s">
        <v>715</v>
      </c>
      <c r="DI1" s="336" t="s">
        <v>497</v>
      </c>
      <c r="DJ1" s="334" t="s">
        <v>714</v>
      </c>
      <c r="DK1" s="334" t="s">
        <v>715</v>
      </c>
      <c r="DL1" s="336" t="s">
        <v>498</v>
      </c>
      <c r="DM1" s="329" t="s">
        <v>714</v>
      </c>
      <c r="DN1" s="329" t="s">
        <v>715</v>
      </c>
    </row>
    <row r="2" spans="1:118" x14ac:dyDescent="0.25">
      <c r="B2" s="179">
        <v>6642768316</v>
      </c>
      <c r="C2" s="179">
        <v>406765573553.95776</v>
      </c>
      <c r="D2" s="179">
        <v>5490376</v>
      </c>
      <c r="E2" s="198"/>
      <c r="F2" s="200">
        <v>1337</v>
      </c>
      <c r="G2" s="200">
        <v>477104958</v>
      </c>
      <c r="H2" s="200">
        <v>26828858226.437782</v>
      </c>
      <c r="J2" s="147" t="str">
        <f>K2&amp;L2</f>
        <v>ABuy</v>
      </c>
      <c r="K2" s="223" t="s">
        <v>527</v>
      </c>
      <c r="L2" s="223" t="s">
        <v>528</v>
      </c>
      <c r="M2" s="227">
        <v>185286050361.26935</v>
      </c>
      <c r="O2" s="230">
        <v>47655351115.599998</v>
      </c>
      <c r="P2" s="230">
        <v>-74143891552.289993</v>
      </c>
      <c r="Q2" s="230">
        <v>-26488540436.689999</v>
      </c>
      <c r="S2" s="242"/>
      <c r="T2" s="247"/>
      <c r="U2" s="247"/>
      <c r="V2" s="247"/>
      <c r="W2" s="247"/>
      <c r="X2" s="247"/>
      <c r="Y2" s="234"/>
      <c r="Z2" s="242" t="s">
        <v>634</v>
      </c>
      <c r="AA2" s="242">
        <v>6662509</v>
      </c>
      <c r="AB2" s="242">
        <v>818</v>
      </c>
      <c r="AC2" s="242">
        <v>22</v>
      </c>
      <c r="AD2" s="242">
        <v>20313</v>
      </c>
      <c r="AE2" s="242">
        <v>0</v>
      </c>
      <c r="AF2" s="242"/>
      <c r="AG2" s="242" t="s">
        <v>634</v>
      </c>
      <c r="AH2" s="242">
        <v>0</v>
      </c>
      <c r="AI2" s="242">
        <v>0</v>
      </c>
      <c r="AJ2" s="242">
        <v>0</v>
      </c>
      <c r="AK2" s="242">
        <v>1040</v>
      </c>
      <c r="AL2" s="242">
        <v>0</v>
      </c>
      <c r="AM2" s="234"/>
      <c r="AN2" s="242" t="s">
        <v>634</v>
      </c>
      <c r="AO2" s="242">
        <v>592144</v>
      </c>
      <c r="AP2" s="242">
        <v>102</v>
      </c>
      <c r="AQ2" s="242">
        <v>38</v>
      </c>
      <c r="AR2" s="242">
        <v>68564</v>
      </c>
      <c r="AS2" s="242">
        <v>0</v>
      </c>
      <c r="AT2" s="234"/>
      <c r="AU2" s="242" t="s">
        <v>634</v>
      </c>
      <c r="AV2" s="242">
        <v>0</v>
      </c>
      <c r="AW2" s="242">
        <v>0</v>
      </c>
      <c r="AX2" s="242">
        <v>0</v>
      </c>
      <c r="AY2" s="242">
        <v>540</v>
      </c>
      <c r="AZ2" s="242">
        <v>0</v>
      </c>
      <c r="BA2" s="234"/>
      <c r="BB2" s="242" t="s">
        <v>634</v>
      </c>
      <c r="BC2" s="242">
        <v>1133128.2</v>
      </c>
      <c r="BD2" s="242">
        <v>355</v>
      </c>
      <c r="BE2" s="242">
        <v>32</v>
      </c>
      <c r="BF2" s="242">
        <v>35602</v>
      </c>
      <c r="BG2" s="242">
        <v>0</v>
      </c>
      <c r="BH2" s="236" t="s">
        <v>634</v>
      </c>
      <c r="BI2" s="242">
        <v>3700</v>
      </c>
      <c r="BJ2" s="242">
        <v>2</v>
      </c>
      <c r="BK2" s="242">
        <v>2</v>
      </c>
      <c r="BL2" s="242">
        <v>1788</v>
      </c>
      <c r="BM2" s="242">
        <v>0</v>
      </c>
      <c r="BN2" s="242"/>
      <c r="BO2" s="234"/>
      <c r="BP2" s="252"/>
      <c r="BQ2" s="252"/>
      <c r="BR2" s="252"/>
      <c r="BS2" s="234"/>
      <c r="BT2" s="254" t="s">
        <v>125</v>
      </c>
      <c r="BU2" s="254">
        <v>36</v>
      </c>
      <c r="BV2" s="254">
        <v>0</v>
      </c>
      <c r="BW2" s="254">
        <v>1</v>
      </c>
      <c r="BX2" s="254">
        <v>0</v>
      </c>
      <c r="BY2" s="254">
        <v>1</v>
      </c>
      <c r="BZ2" s="254">
        <v>36</v>
      </c>
      <c r="CA2" s="254">
        <v>26</v>
      </c>
      <c r="CB2" s="254">
        <v>10</v>
      </c>
      <c r="CC2" s="234"/>
      <c r="CD2" s="258">
        <v>1108</v>
      </c>
      <c r="CE2" s="258">
        <v>20499780365269.965</v>
      </c>
      <c r="CF2" s="234"/>
      <c r="CG2" s="254">
        <v>2021</v>
      </c>
      <c r="CH2" s="254">
        <v>21</v>
      </c>
      <c r="CI2" s="234"/>
      <c r="CJ2" s="236" t="s">
        <v>690</v>
      </c>
      <c r="CK2" s="236">
        <v>480287156808</v>
      </c>
      <c r="CL2" s="236"/>
      <c r="CM2" s="236" t="s">
        <v>690</v>
      </c>
      <c r="CN2" s="236">
        <v>1732865904231</v>
      </c>
      <c r="CO2" s="236"/>
      <c r="CP2" s="236" t="s">
        <v>690</v>
      </c>
      <c r="CQ2" s="236">
        <v>54816580399</v>
      </c>
      <c r="CR2" s="234"/>
      <c r="CS2" s="266">
        <v>2021</v>
      </c>
      <c r="CT2" s="264">
        <v>52</v>
      </c>
      <c r="CU2" s="264" t="s">
        <v>704</v>
      </c>
      <c r="CV2" s="264">
        <v>0</v>
      </c>
      <c r="CW2" s="264">
        <v>20848728904</v>
      </c>
      <c r="CX2" s="264">
        <v>3922</v>
      </c>
      <c r="CY2" s="264">
        <v>0</v>
      </c>
      <c r="CZ2" s="264">
        <v>185153570803</v>
      </c>
      <c r="DA2" s="264">
        <v>2008</v>
      </c>
      <c r="DB2" s="264">
        <v>0</v>
      </c>
      <c r="DC2" s="264">
        <v>164304841899</v>
      </c>
      <c r="DD2" s="264">
        <v>1914</v>
      </c>
      <c r="DG2" s="328" t="s">
        <v>716</v>
      </c>
      <c r="DH2" s="326">
        <v>573542712439.95996</v>
      </c>
      <c r="DJ2" s="332" t="s">
        <v>716</v>
      </c>
      <c r="DK2" s="330">
        <v>582233744634.45996</v>
      </c>
      <c r="DM2" s="331" t="s">
        <v>721</v>
      </c>
      <c r="DN2" s="333">
        <v>1419038670.1500001</v>
      </c>
    </row>
    <row r="3" spans="1:118" x14ac:dyDescent="0.25">
      <c r="B3" s="179"/>
      <c r="C3" s="179"/>
      <c r="D3" s="179"/>
      <c r="E3" s="198"/>
      <c r="F3" s="198"/>
      <c r="G3" s="198"/>
      <c r="H3" s="198"/>
      <c r="J3" s="147" t="str">
        <f t="shared" ref="J3:J5" si="0">K3&amp;L3</f>
        <v>PBuy</v>
      </c>
      <c r="K3" s="223" t="s">
        <v>529</v>
      </c>
      <c r="L3" s="223" t="s">
        <v>528</v>
      </c>
      <c r="M3" s="227">
        <v>221479523192.68845</v>
      </c>
      <c r="N3" s="131"/>
      <c r="O3" s="228"/>
      <c r="P3" s="228"/>
      <c r="Q3" s="228"/>
      <c r="S3" s="242"/>
      <c r="T3" s="247"/>
      <c r="U3" s="247"/>
      <c r="V3" s="247"/>
      <c r="W3" s="247"/>
      <c r="X3" s="247"/>
      <c r="Y3" s="234"/>
      <c r="Z3" s="242" t="s">
        <v>634</v>
      </c>
      <c r="AA3" s="242">
        <v>15503329479.115</v>
      </c>
      <c r="AB3" s="242">
        <v>50198</v>
      </c>
      <c r="AC3" s="242">
        <v>3555</v>
      </c>
      <c r="AD3" s="242">
        <v>498889</v>
      </c>
      <c r="AE3" s="242">
        <v>1</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683</v>
      </c>
      <c r="BU3" s="254">
        <v>1</v>
      </c>
      <c r="BV3" s="254">
        <v>0</v>
      </c>
      <c r="BW3" s="254">
        <v>0</v>
      </c>
      <c r="BX3" s="254">
        <v>0</v>
      </c>
      <c r="BY3" s="254">
        <v>0</v>
      </c>
      <c r="BZ3" s="254">
        <v>1</v>
      </c>
      <c r="CA3" s="254">
        <v>1</v>
      </c>
      <c r="CB3" s="254">
        <v>0</v>
      </c>
      <c r="CC3" s="234"/>
      <c r="CD3" s="234"/>
      <c r="CE3" s="234"/>
      <c r="CF3" s="234"/>
      <c r="CG3" s="254">
        <v>2020</v>
      </c>
      <c r="CH3" s="254">
        <v>21</v>
      </c>
      <c r="CI3" s="234"/>
      <c r="CJ3" s="236" t="s">
        <v>691</v>
      </c>
      <c r="CK3" s="236">
        <v>470684758676.78931</v>
      </c>
      <c r="CL3" s="236"/>
      <c r="CM3" s="236" t="s">
        <v>691</v>
      </c>
      <c r="CN3" s="236">
        <v>1762166366198.3291</v>
      </c>
      <c r="CO3" s="236"/>
      <c r="CP3" s="236" t="s">
        <v>691</v>
      </c>
      <c r="CQ3" s="236">
        <v>14690167103.869999</v>
      </c>
      <c r="CR3" s="234"/>
      <c r="CS3" s="266">
        <v>2021</v>
      </c>
      <c r="CT3" s="264">
        <v>2</v>
      </c>
      <c r="CU3" s="264" t="s">
        <v>705</v>
      </c>
      <c r="CV3" s="264">
        <v>-176903848.09999999</v>
      </c>
      <c r="CW3" s="264">
        <v>-162000000</v>
      </c>
      <c r="CX3" s="264">
        <v>2</v>
      </c>
      <c r="CY3" s="264">
        <v>2262123</v>
      </c>
      <c r="CZ3" s="264">
        <v>3000000</v>
      </c>
      <c r="DA3" s="264">
        <v>1</v>
      </c>
      <c r="DB3" s="264">
        <v>179165971.09999999</v>
      </c>
      <c r="DC3" s="264">
        <v>165000000</v>
      </c>
      <c r="DD3" s="264">
        <v>1</v>
      </c>
      <c r="DG3" s="328" t="s">
        <v>717</v>
      </c>
      <c r="DH3" s="326">
        <v>6000000</v>
      </c>
      <c r="DJ3" s="332" t="s">
        <v>717</v>
      </c>
      <c r="DK3" s="330">
        <v>4908138680.8999996</v>
      </c>
      <c r="DM3" s="331" t="s">
        <v>716</v>
      </c>
      <c r="DN3" s="333">
        <v>19313848312.75</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184121675637.08099</v>
      </c>
      <c r="N4" s="148" t="s">
        <v>197</v>
      </c>
      <c r="O4" s="231" t="s">
        <v>491</v>
      </c>
      <c r="P4" s="231" t="s">
        <v>492</v>
      </c>
      <c r="Q4" s="231" t="s">
        <v>493</v>
      </c>
      <c r="S4" s="242"/>
      <c r="T4" s="247"/>
      <c r="U4" s="247"/>
      <c r="V4" s="247"/>
      <c r="W4" s="247"/>
      <c r="X4" s="247"/>
      <c r="Y4" s="234"/>
      <c r="Z4" s="242" t="s">
        <v>635</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436</v>
      </c>
      <c r="BP4" s="253" t="s">
        <v>629</v>
      </c>
      <c r="BQ4" s="253" t="s">
        <v>630</v>
      </c>
      <c r="BR4" s="253" t="s">
        <v>631</v>
      </c>
      <c r="BS4" s="234"/>
      <c r="BT4" s="254" t="s">
        <v>684</v>
      </c>
      <c r="BU4" s="254">
        <v>286</v>
      </c>
      <c r="BV4" s="254">
        <v>2</v>
      </c>
      <c r="BW4" s="254">
        <v>2</v>
      </c>
      <c r="BX4" s="254">
        <v>1</v>
      </c>
      <c r="BY4" s="254">
        <v>0</v>
      </c>
      <c r="BZ4" s="254">
        <v>285</v>
      </c>
      <c r="CA4" s="254">
        <v>224</v>
      </c>
      <c r="CB4" s="254">
        <v>62</v>
      </c>
      <c r="CC4" s="256" t="s">
        <v>470</v>
      </c>
      <c r="CD4" s="259" t="s">
        <v>686</v>
      </c>
      <c r="CE4" s="259" t="s">
        <v>687</v>
      </c>
      <c r="CF4" s="234"/>
      <c r="CG4" s="234"/>
      <c r="CH4" s="234"/>
      <c r="CI4" s="234"/>
      <c r="CJ4" s="234"/>
      <c r="CK4" s="234"/>
      <c r="CL4" s="236"/>
      <c r="CM4" s="236"/>
      <c r="CN4" s="236"/>
      <c r="CO4" s="236"/>
      <c r="CP4" s="236"/>
      <c r="CQ4" s="236"/>
      <c r="CR4" s="234"/>
      <c r="CS4" s="266">
        <v>2021</v>
      </c>
      <c r="CT4" s="264">
        <v>1</v>
      </c>
      <c r="CU4" s="264" t="s">
        <v>706</v>
      </c>
      <c r="CV4" s="264">
        <v>-108445120</v>
      </c>
      <c r="CW4" s="264">
        <v>-100000000</v>
      </c>
      <c r="CX4" s="264">
        <v>1</v>
      </c>
      <c r="CY4" s="264">
        <v>0</v>
      </c>
      <c r="CZ4" s="264">
        <v>0</v>
      </c>
      <c r="DA4" s="264">
        <v>0</v>
      </c>
      <c r="DB4" s="264">
        <v>108445120</v>
      </c>
      <c r="DC4" s="264">
        <v>100000000</v>
      </c>
      <c r="DD4" s="264">
        <v>1</v>
      </c>
      <c r="DG4" s="328" t="s">
        <v>718</v>
      </c>
      <c r="DH4" s="326">
        <v>128870875.81</v>
      </c>
      <c r="DJ4" s="332" t="s">
        <v>718</v>
      </c>
      <c r="DK4" s="330">
        <v>337639353.93000001</v>
      </c>
      <c r="DM4" s="331" t="s">
        <v>717</v>
      </c>
      <c r="DN4" s="333">
        <v>15734600276.83</v>
      </c>
    </row>
    <row r="5" spans="1:118" x14ac:dyDescent="0.25">
      <c r="B5" s="179">
        <v>122068805168</v>
      </c>
      <c r="C5" s="179">
        <v>5866720908563.6309</v>
      </c>
      <c r="D5" s="185">
        <v>81587931</v>
      </c>
      <c r="E5" s="198"/>
      <c r="F5" s="200">
        <v>18154</v>
      </c>
      <c r="G5" s="200">
        <v>11395620994</v>
      </c>
      <c r="H5" s="214">
        <v>520446745293.1911</v>
      </c>
      <c r="J5" s="147" t="str">
        <f t="shared" si="0"/>
        <v>PSell</v>
      </c>
      <c r="K5" s="223" t="s">
        <v>529</v>
      </c>
      <c r="L5" s="223" t="s">
        <v>530</v>
      </c>
      <c r="M5" s="227">
        <v>222643897916.8768</v>
      </c>
      <c r="N5" s="131"/>
      <c r="O5" s="230">
        <v>976143898939.32996</v>
      </c>
      <c r="P5" s="230">
        <v>-1129242931410.24</v>
      </c>
      <c r="Q5" s="230">
        <v>-153099032470.91</v>
      </c>
      <c r="S5" s="242"/>
      <c r="T5" s="247"/>
      <c r="U5" s="247"/>
      <c r="V5" s="247"/>
      <c r="W5" s="247"/>
      <c r="X5" s="247"/>
      <c r="Y5" s="234"/>
      <c r="Z5" s="242" t="s">
        <v>635</v>
      </c>
      <c r="AA5" s="242">
        <v>1063260</v>
      </c>
      <c r="AB5" s="242">
        <v>9</v>
      </c>
      <c r="AC5" s="242">
        <v>5</v>
      </c>
      <c r="AD5" s="242">
        <v>66</v>
      </c>
      <c r="AE5" s="242">
        <v>1</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t="s">
        <v>685</v>
      </c>
      <c r="BU5" s="254">
        <v>1</v>
      </c>
      <c r="BV5" s="254">
        <v>0</v>
      </c>
      <c r="BW5" s="254">
        <v>0</v>
      </c>
      <c r="BX5" s="254">
        <v>0</v>
      </c>
      <c r="BY5" s="254">
        <v>0</v>
      </c>
      <c r="BZ5" s="254">
        <v>1</v>
      </c>
      <c r="CA5" s="254">
        <v>1</v>
      </c>
      <c r="CB5" s="254">
        <v>0</v>
      </c>
      <c r="CC5" s="234"/>
      <c r="CD5" s="260">
        <v>1003</v>
      </c>
      <c r="CE5" s="260">
        <v>17854038801902.469</v>
      </c>
      <c r="CF5" s="256" t="s">
        <v>475</v>
      </c>
      <c r="CG5" s="255" t="s">
        <v>6</v>
      </c>
      <c r="CH5" s="255" t="s">
        <v>688</v>
      </c>
      <c r="CI5" s="234"/>
      <c r="CJ5" s="234"/>
      <c r="CK5" s="236"/>
      <c r="CL5" s="236"/>
      <c r="CM5" s="236"/>
      <c r="CN5" s="236"/>
      <c r="CO5" s="236"/>
      <c r="CP5" s="236"/>
      <c r="CQ5" s="236"/>
      <c r="CR5" s="234"/>
      <c r="CS5" s="266">
        <v>2021</v>
      </c>
      <c r="CT5" s="264">
        <v>24</v>
      </c>
      <c r="CU5" s="264" t="s">
        <v>707</v>
      </c>
      <c r="CV5" s="264">
        <v>-1419625216171.1687</v>
      </c>
      <c r="CW5" s="264">
        <v>-1397686917272</v>
      </c>
      <c r="CX5" s="264">
        <v>5828</v>
      </c>
      <c r="CY5" s="264">
        <v>254461705063.13998</v>
      </c>
      <c r="CZ5" s="264">
        <v>281728369119</v>
      </c>
      <c r="DA5" s="264">
        <v>1824</v>
      </c>
      <c r="DB5" s="264">
        <v>1674086921234.3091</v>
      </c>
      <c r="DC5" s="264">
        <v>1679415286391</v>
      </c>
      <c r="DD5" s="264">
        <v>4004</v>
      </c>
      <c r="DG5" s="328" t="s">
        <v>719</v>
      </c>
      <c r="DH5" s="326">
        <v>552017744.13999999</v>
      </c>
      <c r="DJ5" s="332" t="s">
        <v>719</v>
      </c>
      <c r="DK5" s="330">
        <v>3247282233.8899999</v>
      </c>
      <c r="DM5" s="331" t="s">
        <v>718</v>
      </c>
      <c r="DN5" s="333">
        <v>455011626</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636</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250</v>
      </c>
      <c r="CI6" s="256" t="s">
        <v>477</v>
      </c>
      <c r="CJ6" s="236" t="s">
        <v>107</v>
      </c>
      <c r="CK6" s="236">
        <v>326302</v>
      </c>
      <c r="CL6" s="256" t="s">
        <v>480</v>
      </c>
      <c r="CM6" s="236" t="s">
        <v>107</v>
      </c>
      <c r="CN6" s="236">
        <v>146637</v>
      </c>
      <c r="CO6" s="256" t="s">
        <v>483</v>
      </c>
      <c r="CP6" s="236" t="s">
        <v>107</v>
      </c>
      <c r="CQ6" s="236">
        <v>8564</v>
      </c>
      <c r="CR6" s="234"/>
      <c r="CS6" s="266">
        <v>2021</v>
      </c>
      <c r="CT6" s="264">
        <v>24</v>
      </c>
      <c r="CU6" s="264" t="s">
        <v>708</v>
      </c>
      <c r="CV6" s="264">
        <v>1333609137161.4304</v>
      </c>
      <c r="CW6" s="264">
        <v>1311946518683</v>
      </c>
      <c r="CX6" s="264">
        <v>5584</v>
      </c>
      <c r="CY6" s="264">
        <v>1576902202784.0999</v>
      </c>
      <c r="CZ6" s="264">
        <v>1583404687786</v>
      </c>
      <c r="DA6" s="264">
        <v>3816</v>
      </c>
      <c r="DB6" s="264">
        <v>243293065622.67001</v>
      </c>
      <c r="DC6" s="264">
        <v>271458169103</v>
      </c>
      <c r="DD6" s="264">
        <v>1768</v>
      </c>
      <c r="DG6" s="328" t="s">
        <v>720</v>
      </c>
      <c r="DH6" s="326">
        <v>3000000000</v>
      </c>
      <c r="DJ6" s="332" t="s">
        <v>720</v>
      </c>
      <c r="DK6" s="330">
        <v>3880489900.8400002</v>
      </c>
      <c r="DM6" s="331" t="s">
        <v>719</v>
      </c>
      <c r="DN6" s="333">
        <v>2798121194.0599999</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636</v>
      </c>
      <c r="AA7" s="242">
        <v>44875671.899999999</v>
      </c>
      <c r="AB7" s="242">
        <v>634</v>
      </c>
      <c r="AC7" s="242">
        <v>40</v>
      </c>
      <c r="AD7" s="242">
        <v>35383</v>
      </c>
      <c r="AE7" s="242">
        <v>1</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2020</v>
      </c>
      <c r="CH7" s="254">
        <v>252</v>
      </c>
      <c r="CI7" s="234"/>
      <c r="CJ7" s="236" t="s">
        <v>690</v>
      </c>
      <c r="CK7" s="236">
        <v>9774042297882</v>
      </c>
      <c r="CL7" s="236"/>
      <c r="CM7" s="236" t="s">
        <v>690</v>
      </c>
      <c r="CN7" s="236">
        <v>24786515972451</v>
      </c>
      <c r="CO7" s="236"/>
      <c r="CP7" s="236" t="s">
        <v>690</v>
      </c>
      <c r="CQ7" s="236">
        <v>742690074512</v>
      </c>
      <c r="CR7" s="234"/>
      <c r="CS7" s="266">
        <v>2021</v>
      </c>
      <c r="CT7" s="264">
        <v>426</v>
      </c>
      <c r="CU7" s="264" t="s">
        <v>709</v>
      </c>
      <c r="CV7" s="264">
        <v>-117919490271.6199</v>
      </c>
      <c r="CW7" s="264">
        <v>-120412232868</v>
      </c>
      <c r="CX7" s="264">
        <v>6914</v>
      </c>
      <c r="CY7" s="264">
        <v>134288268171.90001</v>
      </c>
      <c r="CZ7" s="264">
        <v>136885335014</v>
      </c>
      <c r="DA7" s="264">
        <v>3434</v>
      </c>
      <c r="DB7" s="264">
        <v>252207758443.52008</v>
      </c>
      <c r="DC7" s="264">
        <v>257297567882</v>
      </c>
      <c r="DD7" s="264">
        <v>3480</v>
      </c>
      <c r="DM7" s="10" t="s">
        <v>720</v>
      </c>
      <c r="DN7" s="374">
        <v>27181531702.779999</v>
      </c>
    </row>
    <row r="8" spans="1:118" x14ac:dyDescent="0.25">
      <c r="B8" s="179">
        <v>117776175791</v>
      </c>
      <c r="C8" s="179">
        <v>5791055819748.459</v>
      </c>
      <c r="D8" s="185">
        <v>92970422</v>
      </c>
      <c r="E8" s="198"/>
      <c r="F8" s="200">
        <v>16383</v>
      </c>
      <c r="G8" s="200">
        <v>9320390961</v>
      </c>
      <c r="H8" s="214">
        <v>336907466252.68811</v>
      </c>
      <c r="J8" s="147" t="str">
        <f>K8&amp;L8</f>
        <v>ABuy</v>
      </c>
      <c r="K8" s="223" t="s">
        <v>527</v>
      </c>
      <c r="L8" s="223" t="s">
        <v>528</v>
      </c>
      <c r="M8" s="227">
        <v>210156377798.3353</v>
      </c>
      <c r="O8" s="233">
        <v>941528826844.56006</v>
      </c>
      <c r="P8" s="233">
        <v>-1067119180371.89</v>
      </c>
      <c r="Q8" s="230">
        <v>-125590353527.33</v>
      </c>
      <c r="S8" s="242"/>
      <c r="T8" s="247"/>
      <c r="U8" s="247"/>
      <c r="V8" s="247"/>
      <c r="W8" s="247"/>
      <c r="X8" s="247"/>
      <c r="Y8" s="234"/>
      <c r="Z8" s="242" t="s">
        <v>637</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687</v>
      </c>
      <c r="CE8" s="255" t="s">
        <v>689</v>
      </c>
      <c r="CF8" s="234"/>
      <c r="CG8" s="234"/>
      <c r="CH8" s="234"/>
      <c r="CI8" s="234"/>
      <c r="CJ8" s="236" t="s">
        <v>691</v>
      </c>
      <c r="CK8" s="236">
        <v>9621385365453.9883</v>
      </c>
      <c r="CL8" s="236"/>
      <c r="CM8" s="236" t="s">
        <v>691</v>
      </c>
      <c r="CN8" s="236">
        <v>24122266095104.469</v>
      </c>
      <c r="CO8" s="236"/>
      <c r="CP8" s="236" t="s">
        <v>691</v>
      </c>
      <c r="CQ8" s="236">
        <v>250344825972.41003</v>
      </c>
      <c r="CR8" s="234"/>
      <c r="CS8" s="266">
        <v>2021</v>
      </c>
      <c r="CT8" s="264">
        <v>179</v>
      </c>
      <c r="CU8" s="264" t="s">
        <v>710</v>
      </c>
      <c r="CV8" s="264">
        <v>-38466042973.290009</v>
      </c>
      <c r="CW8" s="264">
        <v>-39557983033</v>
      </c>
      <c r="CX8" s="264">
        <v>27338</v>
      </c>
      <c r="CY8" s="264">
        <v>918252798862.15979</v>
      </c>
      <c r="CZ8" s="264">
        <v>948277624938</v>
      </c>
      <c r="DA8" s="264">
        <v>13444</v>
      </c>
      <c r="DB8" s="264">
        <v>956718841835.44934</v>
      </c>
      <c r="DC8" s="264">
        <v>987835607971</v>
      </c>
      <c r="DD8" s="264">
        <v>13894</v>
      </c>
    </row>
    <row r="9" spans="1:118" x14ac:dyDescent="0.25">
      <c r="B9" s="178"/>
      <c r="C9" s="178"/>
      <c r="D9" s="178"/>
      <c r="E9" s="198"/>
      <c r="F9" s="198"/>
      <c r="G9" s="198"/>
      <c r="H9" s="198"/>
      <c r="J9" s="147" t="str">
        <f t="shared" ref="J9:J11" si="1">K9&amp;L9</f>
        <v>PBuy</v>
      </c>
      <c r="K9" s="223" t="s">
        <v>529</v>
      </c>
      <c r="L9" s="223" t="s">
        <v>528</v>
      </c>
      <c r="M9" s="227">
        <v>241185095596.05118</v>
      </c>
      <c r="N9" s="19"/>
      <c r="O9" s="228"/>
      <c r="P9" s="228"/>
      <c r="Q9" s="228"/>
      <c r="S9" s="242"/>
      <c r="T9" s="247"/>
      <c r="U9" s="247"/>
      <c r="V9" s="247"/>
      <c r="W9" s="247"/>
      <c r="X9" s="247"/>
      <c r="Y9" s="234"/>
      <c r="Z9" s="242" t="s">
        <v>637</v>
      </c>
      <c r="AA9" s="242">
        <v>0</v>
      </c>
      <c r="AB9" s="242">
        <v>0</v>
      </c>
      <c r="AC9" s="242">
        <v>0</v>
      </c>
      <c r="AD9" s="242">
        <v>420</v>
      </c>
      <c r="AE9" s="242">
        <v>1</v>
      </c>
      <c r="AF9" s="242"/>
      <c r="AG9" s="242" t="s">
        <v>641</v>
      </c>
      <c r="AH9" s="242">
        <v>0</v>
      </c>
      <c r="AI9" s="242">
        <v>0</v>
      </c>
      <c r="AJ9" s="242">
        <v>0</v>
      </c>
      <c r="AK9" s="242">
        <v>43</v>
      </c>
      <c r="AL9" s="242">
        <v>0</v>
      </c>
      <c r="AM9" s="234"/>
      <c r="AN9" s="242" t="s">
        <v>641</v>
      </c>
      <c r="AO9" s="242">
        <v>1176089</v>
      </c>
      <c r="AP9" s="242">
        <v>137</v>
      </c>
      <c r="AQ9" s="242">
        <v>55</v>
      </c>
      <c r="AR9" s="242">
        <v>18230</v>
      </c>
      <c r="AS9" s="242">
        <v>0</v>
      </c>
      <c r="AT9" s="234"/>
      <c r="AU9" s="242" t="s">
        <v>641</v>
      </c>
      <c r="AV9" s="242">
        <v>0</v>
      </c>
      <c r="AW9" s="242">
        <v>0</v>
      </c>
      <c r="AX9" s="242">
        <v>0</v>
      </c>
      <c r="AY9" s="242">
        <v>43</v>
      </c>
      <c r="AZ9" s="242">
        <v>0</v>
      </c>
      <c r="BA9" s="234"/>
      <c r="BB9" s="242" t="s">
        <v>641</v>
      </c>
      <c r="BC9" s="242">
        <v>43200</v>
      </c>
      <c r="BD9" s="242">
        <v>9</v>
      </c>
      <c r="BE9" s="242">
        <v>8</v>
      </c>
      <c r="BF9" s="242">
        <v>904</v>
      </c>
      <c r="BG9" s="242">
        <v>0</v>
      </c>
      <c r="BH9" s="236" t="s">
        <v>641</v>
      </c>
      <c r="BI9" s="242">
        <v>0</v>
      </c>
      <c r="BJ9" s="242">
        <v>0</v>
      </c>
      <c r="BK9" s="242">
        <v>0</v>
      </c>
      <c r="BL9" s="242">
        <v>45</v>
      </c>
      <c r="BM9" s="242">
        <v>0</v>
      </c>
      <c r="BN9" s="242"/>
      <c r="BO9" s="236"/>
      <c r="BP9" s="236"/>
      <c r="BQ9" s="236"/>
      <c r="BR9" s="236"/>
      <c r="BS9" s="245" t="s">
        <v>466</v>
      </c>
      <c r="BT9" s="255" t="s">
        <v>674</v>
      </c>
      <c r="BU9" s="255" t="s">
        <v>675</v>
      </c>
      <c r="BV9" s="255" t="s">
        <v>676</v>
      </c>
      <c r="BW9" s="255" t="s">
        <v>677</v>
      </c>
      <c r="BX9" s="255" t="s">
        <v>678</v>
      </c>
      <c r="BY9" s="255" t="s">
        <v>679</v>
      </c>
      <c r="BZ9" s="255" t="s">
        <v>680</v>
      </c>
      <c r="CA9" s="255" t="s">
        <v>681</v>
      </c>
      <c r="CB9" s="255" t="s">
        <v>682</v>
      </c>
      <c r="CC9" s="234"/>
      <c r="CD9" s="258">
        <v>371924003670525.88</v>
      </c>
      <c r="CE9" s="261">
        <v>401259057460.46014</v>
      </c>
      <c r="CF9" s="234"/>
      <c r="CG9" s="234"/>
      <c r="CH9" s="234"/>
      <c r="CI9" s="234"/>
      <c r="CJ9" s="234"/>
      <c r="CK9" s="234"/>
      <c r="CL9" s="236"/>
      <c r="CM9" s="236"/>
      <c r="CN9" s="236"/>
      <c r="CO9" s="236"/>
      <c r="CP9" s="236"/>
      <c r="CQ9" s="236"/>
      <c r="CR9" s="234"/>
      <c r="CS9" s="234">
        <v>2021</v>
      </c>
      <c r="CT9" s="234">
        <v>27</v>
      </c>
      <c r="CU9" s="234" t="s">
        <v>711</v>
      </c>
      <c r="CV9" s="234">
        <v>10793924991.66</v>
      </c>
      <c r="CW9" s="234">
        <v>9503956374</v>
      </c>
      <c r="CX9" s="234">
        <v>474</v>
      </c>
      <c r="CY9" s="234">
        <v>48663983024.949989</v>
      </c>
      <c r="CZ9" s="234">
        <v>49491915321</v>
      </c>
      <c r="DA9" s="234">
        <v>235</v>
      </c>
      <c r="DB9" s="234">
        <v>37870058033.290001</v>
      </c>
      <c r="DC9" s="234">
        <v>39987958947</v>
      </c>
      <c r="DD9" s="234">
        <v>239</v>
      </c>
    </row>
    <row r="10" spans="1:118" x14ac:dyDescent="0.25">
      <c r="A10" s="143" t="s">
        <v>186</v>
      </c>
      <c r="B10" s="180"/>
      <c r="C10" s="180"/>
      <c r="D10" s="180"/>
      <c r="E10" s="210"/>
      <c r="F10" s="210"/>
      <c r="G10" s="210"/>
      <c r="H10" s="210"/>
      <c r="J10" s="147" t="str">
        <f t="shared" si="1"/>
        <v>ASell</v>
      </c>
      <c r="K10" s="223" t="s">
        <v>527</v>
      </c>
      <c r="L10" s="223" t="s">
        <v>530</v>
      </c>
      <c r="M10" s="227">
        <v>210897473031.14233</v>
      </c>
      <c r="N10" s="156" t="s">
        <v>186</v>
      </c>
      <c r="O10" s="232" t="s">
        <v>491</v>
      </c>
      <c r="P10" s="232" t="s">
        <v>492</v>
      </c>
      <c r="Q10" s="232" t="s">
        <v>493</v>
      </c>
      <c r="S10" s="242"/>
      <c r="T10" s="247"/>
      <c r="U10" s="247"/>
      <c r="V10" s="247"/>
      <c r="W10" s="247"/>
      <c r="X10" s="247"/>
      <c r="Y10" s="234"/>
      <c r="Z10" s="242" t="s">
        <v>638</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439</v>
      </c>
      <c r="BP10" s="253" t="s">
        <v>629</v>
      </c>
      <c r="BQ10" s="253" t="s">
        <v>630</v>
      </c>
      <c r="BR10" s="253" t="s">
        <v>631</v>
      </c>
      <c r="BS10" s="234"/>
      <c r="BT10" s="254" t="s">
        <v>125</v>
      </c>
      <c r="BU10" s="254">
        <v>36</v>
      </c>
      <c r="BV10" s="254">
        <v>0</v>
      </c>
      <c r="BW10" s="254">
        <v>4</v>
      </c>
      <c r="BX10" s="254">
        <v>0</v>
      </c>
      <c r="BY10" s="254">
        <v>1</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240444000363.24414</v>
      </c>
      <c r="N11" s="151"/>
      <c r="O11" s="324">
        <v>969468452821</v>
      </c>
      <c r="P11" s="324">
        <v>-970485061219</v>
      </c>
      <c r="Q11" s="324">
        <v>-1016608398</v>
      </c>
      <c r="S11" s="242"/>
      <c r="T11" s="247"/>
      <c r="U11" s="247"/>
      <c r="V11" s="247"/>
      <c r="W11" s="247"/>
      <c r="X11" s="247"/>
      <c r="Y11" s="234"/>
      <c r="Z11" s="242" t="s">
        <v>638</v>
      </c>
      <c r="AA11" s="242">
        <v>608362.5</v>
      </c>
      <c r="AB11" s="242">
        <v>7</v>
      </c>
      <c r="AC11" s="242">
        <v>2</v>
      </c>
      <c r="AD11" s="242">
        <v>49</v>
      </c>
      <c r="AE11" s="242">
        <v>1</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683</v>
      </c>
      <c r="BU11" s="254">
        <v>1</v>
      </c>
      <c r="BV11" s="254">
        <v>0</v>
      </c>
      <c r="BW11" s="254">
        <v>0</v>
      </c>
      <c r="BX11" s="254">
        <v>0</v>
      </c>
      <c r="BY11" s="254">
        <v>0</v>
      </c>
      <c r="BZ11" s="254">
        <v>1</v>
      </c>
      <c r="CA11" s="254">
        <v>1</v>
      </c>
      <c r="CB11" s="254">
        <v>0</v>
      </c>
      <c r="CC11" s="256" t="s">
        <v>472</v>
      </c>
      <c r="CD11" s="255" t="s">
        <v>687</v>
      </c>
      <c r="CE11" s="255" t="s">
        <v>689</v>
      </c>
      <c r="CF11" s="234"/>
      <c r="CG11" s="234"/>
      <c r="CH11" s="234"/>
      <c r="CI11" s="256" t="s">
        <v>478</v>
      </c>
      <c r="CJ11" s="236" t="s">
        <v>107</v>
      </c>
      <c r="CK11" s="236">
        <v>335248</v>
      </c>
      <c r="CL11" s="256" t="s">
        <v>481</v>
      </c>
      <c r="CM11" s="236" t="s">
        <v>107</v>
      </c>
      <c r="CN11" s="236">
        <v>143565</v>
      </c>
      <c r="CO11" s="256" t="s">
        <v>484</v>
      </c>
      <c r="CP11" s="236" t="s">
        <v>107</v>
      </c>
      <c r="CQ11" s="236">
        <v>10968</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639</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684</v>
      </c>
      <c r="BU12" s="254">
        <v>286</v>
      </c>
      <c r="BV12" s="254">
        <v>9</v>
      </c>
      <c r="BW12" s="254">
        <v>20</v>
      </c>
      <c r="BX12" s="254">
        <v>1</v>
      </c>
      <c r="BY12" s="254">
        <v>0</v>
      </c>
      <c r="BZ12" s="254">
        <v>274</v>
      </c>
      <c r="CA12" s="254">
        <v>224</v>
      </c>
      <c r="CB12" s="254">
        <v>62</v>
      </c>
      <c r="CC12" s="234"/>
      <c r="CD12" s="258">
        <v>4182991778012043.5</v>
      </c>
      <c r="CE12" s="261">
        <v>5776851713166.7783</v>
      </c>
      <c r="CF12" s="234"/>
      <c r="CG12" s="234"/>
      <c r="CH12" s="234"/>
      <c r="CI12" s="236"/>
      <c r="CJ12" s="236" t="s">
        <v>690</v>
      </c>
      <c r="CK12" s="236">
        <v>10949626327748</v>
      </c>
      <c r="CL12" s="236"/>
      <c r="CM12" s="236" t="s">
        <v>690</v>
      </c>
      <c r="CN12" s="236">
        <v>21498050330509</v>
      </c>
      <c r="CO12" s="236"/>
      <c r="CP12" s="236" t="s">
        <v>690</v>
      </c>
      <c r="CQ12" s="236">
        <v>967583858534</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639</v>
      </c>
      <c r="AA13" s="242">
        <v>5006225</v>
      </c>
      <c r="AB13" s="242">
        <v>29</v>
      </c>
      <c r="AC13" s="242">
        <v>5</v>
      </c>
      <c r="AD13" s="242">
        <v>1136</v>
      </c>
      <c r="AE13" s="242">
        <v>1</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451</v>
      </c>
      <c r="BP13" s="253" t="s">
        <v>632</v>
      </c>
      <c r="BQ13" s="252"/>
      <c r="BR13" s="252"/>
      <c r="BS13" s="234"/>
      <c r="BT13" s="254" t="s">
        <v>685</v>
      </c>
      <c r="BU13" s="254">
        <v>1</v>
      </c>
      <c r="BV13" s="254">
        <v>0</v>
      </c>
      <c r="BW13" s="254">
        <v>0</v>
      </c>
      <c r="BX13" s="254">
        <v>0</v>
      </c>
      <c r="BY13" s="254">
        <v>0</v>
      </c>
      <c r="BZ13" s="254">
        <v>1</v>
      </c>
      <c r="CA13" s="254">
        <v>1</v>
      </c>
      <c r="CB13" s="254">
        <v>0</v>
      </c>
      <c r="CC13" s="234"/>
      <c r="CD13" s="234"/>
      <c r="CE13" s="234"/>
      <c r="CF13" s="234"/>
      <c r="CG13" s="234"/>
      <c r="CH13" s="234"/>
      <c r="CI13" s="236"/>
      <c r="CJ13" s="236" t="s">
        <v>691</v>
      </c>
      <c r="CK13" s="236">
        <v>10566905185982.102</v>
      </c>
      <c r="CL13" s="236"/>
      <c r="CM13" s="236" t="s">
        <v>691</v>
      </c>
      <c r="CN13" s="236">
        <v>20831651963121.219</v>
      </c>
      <c r="CO13" s="236"/>
      <c r="CP13" s="236" t="s">
        <v>691</v>
      </c>
      <c r="CQ13" s="236">
        <v>343928304681.7002</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170058641759.79501</v>
      </c>
      <c r="N14" s="151"/>
      <c r="O14" s="324">
        <v>784579000000</v>
      </c>
      <c r="P14" s="324">
        <v>-771216000000</v>
      </c>
      <c r="Q14" s="324">
        <v>13363000000</v>
      </c>
      <c r="S14" s="234"/>
      <c r="T14" s="234"/>
      <c r="U14" s="234"/>
      <c r="V14" s="234"/>
      <c r="W14" s="234"/>
      <c r="X14" s="234"/>
      <c r="Y14" s="234"/>
      <c r="Z14" s="242" t="s">
        <v>640</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687</v>
      </c>
      <c r="CE14" s="262" t="s">
        <v>689</v>
      </c>
      <c r="CF14" s="234"/>
      <c r="CG14" s="234"/>
      <c r="CH14" s="234"/>
      <c r="CI14" s="236"/>
      <c r="CJ14" s="234"/>
      <c r="CK14" s="234"/>
      <c r="CL14" s="236"/>
      <c r="CM14" s="234"/>
      <c r="CN14" s="234"/>
      <c r="CO14" s="234"/>
      <c r="CP14" s="234"/>
      <c r="CQ14" s="234"/>
      <c r="CR14" s="256" t="s">
        <v>486</v>
      </c>
      <c r="CS14" s="265" t="s">
        <v>712</v>
      </c>
      <c r="CT14" s="264" t="s">
        <v>693</v>
      </c>
      <c r="CU14" s="264" t="s">
        <v>694</v>
      </c>
      <c r="CV14" s="264" t="s">
        <v>695</v>
      </c>
      <c r="CW14" s="264" t="s">
        <v>696</v>
      </c>
      <c r="CX14" s="264" t="s">
        <v>697</v>
      </c>
      <c r="CY14" s="264" t="s">
        <v>698</v>
      </c>
      <c r="CZ14" s="264" t="s">
        <v>699</v>
      </c>
      <c r="DA14" s="264" t="s">
        <v>700</v>
      </c>
      <c r="DB14" s="264" t="s">
        <v>701</v>
      </c>
      <c r="DC14" s="264" t="s">
        <v>702</v>
      </c>
      <c r="DD14" s="264" t="s">
        <v>703</v>
      </c>
    </row>
    <row r="15" spans="1:118" x14ac:dyDescent="0.25">
      <c r="B15" s="180"/>
      <c r="C15" s="180"/>
      <c r="D15" s="180"/>
      <c r="E15" s="210"/>
      <c r="F15" s="211"/>
      <c r="G15" s="211"/>
      <c r="H15" s="210"/>
      <c r="J15" s="147" t="str">
        <f t="shared" ref="J15:J17" si="2">K15&amp;L15</f>
        <v>PBuy</v>
      </c>
      <c r="K15" s="223" t="s">
        <v>529</v>
      </c>
      <c r="L15" s="223" t="s">
        <v>528</v>
      </c>
      <c r="M15" s="227">
        <v>209878073567.72501</v>
      </c>
      <c r="N15" s="151"/>
      <c r="O15" s="229"/>
      <c r="P15" s="229"/>
      <c r="Q15" s="229"/>
      <c r="S15" s="243"/>
      <c r="T15" s="246"/>
      <c r="U15" s="246"/>
      <c r="V15" s="246"/>
      <c r="W15" s="246"/>
      <c r="X15" s="246"/>
      <c r="Y15" s="234"/>
      <c r="Z15" s="242" t="s">
        <v>640</v>
      </c>
      <c r="AA15" s="242">
        <v>6422500</v>
      </c>
      <c r="AB15" s="242">
        <v>60</v>
      </c>
      <c r="AC15" s="242">
        <v>4</v>
      </c>
      <c r="AD15" s="242">
        <v>643</v>
      </c>
      <c r="AE15" s="242">
        <v>1</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3581171077890820.5</v>
      </c>
      <c r="CE15" s="263">
        <v>5648829806316.6328</v>
      </c>
      <c r="CF15" s="234"/>
      <c r="CG15" s="234"/>
      <c r="CH15" s="234"/>
      <c r="CI15" s="234"/>
      <c r="CJ15" s="234"/>
      <c r="CK15" s="234"/>
      <c r="CL15" s="234"/>
      <c r="CM15" s="234"/>
      <c r="CN15" s="234"/>
      <c r="CO15" s="234"/>
      <c r="CP15" s="234"/>
      <c r="CQ15" s="234"/>
      <c r="CR15" s="236"/>
      <c r="CS15" s="266" t="s">
        <v>713</v>
      </c>
      <c r="CT15" s="264">
        <v>19</v>
      </c>
      <c r="CU15" s="264" t="s">
        <v>704</v>
      </c>
      <c r="CV15" s="264">
        <v>0</v>
      </c>
      <c r="CW15" s="264">
        <v>3311829865</v>
      </c>
      <c r="CX15" s="264">
        <v>348</v>
      </c>
      <c r="CY15" s="264">
        <v>0</v>
      </c>
      <c r="CZ15" s="264">
        <v>14879964616</v>
      </c>
      <c r="DA15" s="264">
        <v>181</v>
      </c>
      <c r="DB15" s="264">
        <v>0</v>
      </c>
      <c r="DC15" s="264">
        <v>11568134751</v>
      </c>
      <c r="DD15" s="264">
        <v>167</v>
      </c>
    </row>
    <row r="16" spans="1:118" x14ac:dyDescent="0.25">
      <c r="A16" s="143" t="s">
        <v>188</v>
      </c>
      <c r="B16" s="180"/>
      <c r="C16" s="180"/>
      <c r="D16" s="180"/>
      <c r="E16" s="210"/>
      <c r="F16" s="211"/>
      <c r="G16" s="211"/>
      <c r="H16" s="210"/>
      <c r="J16" s="147" t="str">
        <f t="shared" si="2"/>
        <v>ASell</v>
      </c>
      <c r="K16" s="223" t="s">
        <v>527</v>
      </c>
      <c r="L16" s="223" t="s">
        <v>530</v>
      </c>
      <c r="M16" s="227">
        <v>168773500851.595</v>
      </c>
      <c r="N16" s="156" t="s">
        <v>188</v>
      </c>
      <c r="O16" s="232" t="s">
        <v>491</v>
      </c>
      <c r="P16" s="232" t="s">
        <v>492</v>
      </c>
      <c r="Q16" s="232" t="s">
        <v>493</v>
      </c>
      <c r="S16" s="242"/>
      <c r="T16" s="247"/>
      <c r="U16" s="247"/>
      <c r="V16" s="247"/>
      <c r="W16" s="247"/>
      <c r="X16" s="247"/>
      <c r="Y16" s="234"/>
      <c r="Z16" s="242" t="s">
        <v>641</v>
      </c>
      <c r="AA16" s="242">
        <v>0</v>
      </c>
      <c r="AB16" s="242">
        <v>0</v>
      </c>
      <c r="AC16" s="242">
        <v>0</v>
      </c>
      <c r="AD16" s="242">
        <v>903</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713</v>
      </c>
      <c r="CT16" s="264">
        <v>18</v>
      </c>
      <c r="CU16" s="264" t="s">
        <v>707</v>
      </c>
      <c r="CV16" s="264">
        <v>-89551758764.850021</v>
      </c>
      <c r="CW16" s="264">
        <v>-95619587492</v>
      </c>
      <c r="CX16" s="264">
        <v>450</v>
      </c>
      <c r="CY16" s="264">
        <v>20116609840.539993</v>
      </c>
      <c r="CZ16" s="264">
        <v>22667344699</v>
      </c>
      <c r="DA16" s="264">
        <v>140</v>
      </c>
      <c r="DB16" s="264">
        <v>109668368605.39003</v>
      </c>
      <c r="DC16" s="264">
        <v>118286932191</v>
      </c>
      <c r="DD16" s="264">
        <v>310</v>
      </c>
    </row>
    <row r="17" spans="1:108" x14ac:dyDescent="0.25">
      <c r="B17" s="180"/>
      <c r="C17" s="180"/>
      <c r="D17" s="180"/>
      <c r="E17" s="210"/>
      <c r="F17" s="210"/>
      <c r="G17" s="210"/>
      <c r="H17" s="210"/>
      <c r="J17" s="147" t="str">
        <f t="shared" si="2"/>
        <v>PSell</v>
      </c>
      <c r="K17" s="223" t="s">
        <v>529</v>
      </c>
      <c r="L17" s="223" t="s">
        <v>530</v>
      </c>
      <c r="M17" s="227">
        <v>211163214475.92499</v>
      </c>
      <c r="N17" s="151"/>
      <c r="O17" s="324">
        <v>645668000000</v>
      </c>
      <c r="P17" s="324">
        <v>-645833000000</v>
      </c>
      <c r="Q17" s="324">
        <v>-165000000</v>
      </c>
      <c r="R17" s="148" t="s">
        <v>420</v>
      </c>
      <c r="S17" s="242"/>
      <c r="T17" s="247"/>
      <c r="U17" s="247"/>
      <c r="V17" s="247"/>
      <c r="W17" s="247"/>
      <c r="X17" s="247"/>
      <c r="Y17" s="234"/>
      <c r="Z17" s="242" t="s">
        <v>641</v>
      </c>
      <c r="AA17" s="242">
        <v>5020259383.9799995</v>
      </c>
      <c r="AB17" s="242">
        <v>13423</v>
      </c>
      <c r="AC17" s="242">
        <v>1247</v>
      </c>
      <c r="AD17" s="242">
        <v>384404</v>
      </c>
      <c r="AE17" s="242">
        <v>1</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467</v>
      </c>
      <c r="BT17" s="255" t="s">
        <v>674</v>
      </c>
      <c r="BU17" s="255" t="s">
        <v>675</v>
      </c>
      <c r="BV17" s="255" t="s">
        <v>676</v>
      </c>
      <c r="BW17" s="255" t="s">
        <v>677</v>
      </c>
      <c r="BX17" s="255" t="s">
        <v>678</v>
      </c>
      <c r="BY17" s="255" t="s">
        <v>679</v>
      </c>
      <c r="BZ17" s="255" t="s">
        <v>680</v>
      </c>
      <c r="CA17" s="255" t="s">
        <v>681</v>
      </c>
      <c r="CB17" s="255" t="s">
        <v>682</v>
      </c>
      <c r="CC17" s="338" t="s">
        <v>495</v>
      </c>
      <c r="CD17" s="337" t="s">
        <v>687</v>
      </c>
      <c r="CE17" s="337" t="s">
        <v>689</v>
      </c>
      <c r="CF17" s="234"/>
      <c r="CG17" s="234"/>
      <c r="CH17" s="234"/>
      <c r="CI17" s="234"/>
      <c r="CJ17" s="234"/>
      <c r="CK17" s="234"/>
      <c r="CL17" s="234"/>
      <c r="CM17" s="234"/>
      <c r="CN17" s="234"/>
      <c r="CO17" s="234"/>
      <c r="CP17" s="234"/>
      <c r="CQ17" s="234"/>
      <c r="CR17" s="236"/>
      <c r="CS17" s="266" t="s">
        <v>713</v>
      </c>
      <c r="CT17" s="264">
        <v>18</v>
      </c>
      <c r="CU17" s="264" t="s">
        <v>708</v>
      </c>
      <c r="CV17" s="264">
        <v>79873970909.260025</v>
      </c>
      <c r="CW17" s="264">
        <v>85342587492</v>
      </c>
      <c r="CX17" s="264">
        <v>423</v>
      </c>
      <c r="CY17" s="264">
        <v>99635155983.210007</v>
      </c>
      <c r="CZ17" s="264">
        <v>107688932191</v>
      </c>
      <c r="DA17" s="264">
        <v>286</v>
      </c>
      <c r="DB17" s="264">
        <v>19761185073.950001</v>
      </c>
      <c r="DC17" s="264">
        <v>22346344699</v>
      </c>
      <c r="DD17" s="264">
        <v>137</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642</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125</v>
      </c>
      <c r="BU18" s="236">
        <v>39</v>
      </c>
      <c r="BV18" s="254">
        <v>0</v>
      </c>
      <c r="BW18" s="254">
        <v>2</v>
      </c>
      <c r="BX18" s="254">
        <v>1</v>
      </c>
      <c r="BY18" s="254">
        <v>0</v>
      </c>
      <c r="BZ18" s="254">
        <v>36</v>
      </c>
      <c r="CA18" s="254">
        <v>29</v>
      </c>
      <c r="CB18" s="254">
        <v>10</v>
      </c>
      <c r="CC18" s="335"/>
      <c r="CD18" s="339">
        <v>18202738218801.875</v>
      </c>
      <c r="CE18" s="340">
        <v>4337389307.7667875</v>
      </c>
      <c r="CF18" s="234"/>
      <c r="CG18" s="234"/>
      <c r="CH18" s="234"/>
      <c r="CI18" s="234"/>
      <c r="CJ18" s="234"/>
      <c r="CK18" s="234"/>
      <c r="CL18" s="234"/>
      <c r="CM18" s="234"/>
      <c r="CN18" s="234"/>
      <c r="CO18" s="234"/>
      <c r="CP18" s="234"/>
      <c r="CQ18" s="234"/>
      <c r="CR18" s="236"/>
      <c r="CS18" s="266" t="s">
        <v>713</v>
      </c>
      <c r="CT18" s="264">
        <v>51</v>
      </c>
      <c r="CU18" s="264" t="s">
        <v>709</v>
      </c>
      <c r="CV18" s="264">
        <v>-5973728341.2800045</v>
      </c>
      <c r="CW18" s="264">
        <v>-7024008919</v>
      </c>
      <c r="CX18" s="264">
        <v>458</v>
      </c>
      <c r="CY18" s="264">
        <v>5966000356.4799976</v>
      </c>
      <c r="CZ18" s="264">
        <v>6095202434</v>
      </c>
      <c r="DA18" s="264">
        <v>226</v>
      </c>
      <c r="DB18" s="264">
        <v>11939728697.76</v>
      </c>
      <c r="DC18" s="264">
        <v>13119211353</v>
      </c>
      <c r="DD18" s="264">
        <v>232</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642</v>
      </c>
      <c r="AA19" s="242">
        <v>63232253</v>
      </c>
      <c r="AB19" s="242">
        <v>2147</v>
      </c>
      <c r="AC19" s="242">
        <v>180</v>
      </c>
      <c r="AD19" s="242">
        <v>15881</v>
      </c>
      <c r="AE19" s="242">
        <v>1</v>
      </c>
      <c r="AF19" s="242"/>
      <c r="AG19" s="242" t="s">
        <v>653</v>
      </c>
      <c r="AH19" s="242">
        <v>0</v>
      </c>
      <c r="AI19" s="242">
        <v>0</v>
      </c>
      <c r="AJ19" s="242">
        <v>0</v>
      </c>
      <c r="AK19" s="242">
        <v>0</v>
      </c>
      <c r="AL19" s="242">
        <v>0</v>
      </c>
      <c r="AM19" s="234"/>
      <c r="AN19" s="242" t="s">
        <v>651</v>
      </c>
      <c r="AO19" s="242">
        <v>0</v>
      </c>
      <c r="AP19" s="242">
        <v>0</v>
      </c>
      <c r="AQ19" s="242">
        <v>0</v>
      </c>
      <c r="AR19" s="242">
        <v>0</v>
      </c>
      <c r="AS19" s="242">
        <v>0</v>
      </c>
      <c r="AT19" s="234"/>
      <c r="AU19" s="242" t="s">
        <v>653</v>
      </c>
      <c r="AV19" s="242">
        <v>0</v>
      </c>
      <c r="AW19" s="242">
        <v>0</v>
      </c>
      <c r="AX19" s="242">
        <v>0</v>
      </c>
      <c r="AY19" s="242">
        <v>0</v>
      </c>
      <c r="AZ19" s="242">
        <v>0</v>
      </c>
      <c r="BA19" s="234"/>
      <c r="BB19" s="242" t="s">
        <v>651</v>
      </c>
      <c r="BC19" s="242">
        <v>0</v>
      </c>
      <c r="BD19" s="242">
        <v>0</v>
      </c>
      <c r="BE19" s="242">
        <v>0</v>
      </c>
      <c r="BF19" s="242">
        <v>0</v>
      </c>
      <c r="BG19" s="242">
        <v>0</v>
      </c>
      <c r="BH19" s="236" t="s">
        <v>651</v>
      </c>
      <c r="BI19" s="242">
        <v>0</v>
      </c>
      <c r="BJ19" s="242">
        <v>0</v>
      </c>
      <c r="BK19" s="242">
        <v>0</v>
      </c>
      <c r="BL19" s="242">
        <v>0</v>
      </c>
      <c r="BM19" s="242">
        <v>0</v>
      </c>
      <c r="BN19" s="242"/>
      <c r="BO19" s="245" t="s">
        <v>449</v>
      </c>
      <c r="BP19" s="253" t="s">
        <v>523</v>
      </c>
      <c r="BQ19" s="253" t="s">
        <v>630</v>
      </c>
      <c r="BR19" s="253" t="s">
        <v>631</v>
      </c>
      <c r="BS19" s="234"/>
      <c r="BT19" s="254" t="s">
        <v>683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713</v>
      </c>
      <c r="CT19" s="264">
        <v>77</v>
      </c>
      <c r="CU19" s="264" t="s">
        <v>710</v>
      </c>
      <c r="CV19" s="264">
        <v>5828399392.2200031</v>
      </c>
      <c r="CW19" s="264">
        <v>5973804416</v>
      </c>
      <c r="CX19" s="264">
        <v>1626</v>
      </c>
      <c r="CY19" s="264">
        <v>43897754782.06002</v>
      </c>
      <c r="CZ19" s="264">
        <v>45790017374</v>
      </c>
      <c r="DA19" s="264">
        <v>876</v>
      </c>
      <c r="DB19" s="264">
        <v>38069355389.840019</v>
      </c>
      <c r="DC19" s="264">
        <v>39816212958</v>
      </c>
      <c r="DD19" s="264">
        <v>750</v>
      </c>
    </row>
    <row r="20" spans="1:108" x14ac:dyDescent="0.25">
      <c r="B20" s="180"/>
      <c r="C20" s="180"/>
      <c r="D20" s="180"/>
      <c r="E20" s="210"/>
      <c r="F20" s="210"/>
      <c r="G20" s="210"/>
      <c r="H20" s="210"/>
      <c r="J20" s="147" t="str">
        <f>K20&amp;L20</f>
        <v>ABuy</v>
      </c>
      <c r="K20" s="223" t="s">
        <v>527</v>
      </c>
      <c r="L20" s="223" t="s">
        <v>528</v>
      </c>
      <c r="M20" s="227">
        <v>183129619561.35001</v>
      </c>
      <c r="N20" s="151"/>
      <c r="O20" s="324">
        <v>525050000000</v>
      </c>
      <c r="P20" s="324">
        <v>-528401000000</v>
      </c>
      <c r="Q20" s="324">
        <v>-3351000000</v>
      </c>
      <c r="S20" s="242"/>
      <c r="T20" s="247"/>
      <c r="U20" s="247"/>
      <c r="V20" s="247"/>
      <c r="W20" s="247"/>
      <c r="X20" s="247"/>
      <c r="Y20" s="234"/>
      <c r="Z20" s="242" t="s">
        <v>643</v>
      </c>
      <c r="AA20" s="242">
        <v>0</v>
      </c>
      <c r="AB20" s="242">
        <v>0</v>
      </c>
      <c r="AC20" s="242">
        <v>0</v>
      </c>
      <c r="AD20" s="242">
        <v>0</v>
      </c>
      <c r="AE20" s="242">
        <v>0</v>
      </c>
      <c r="AF20" s="242"/>
      <c r="AG20" s="242" t="s">
        <v>654</v>
      </c>
      <c r="AH20" s="242">
        <v>0</v>
      </c>
      <c r="AI20" s="242">
        <v>0</v>
      </c>
      <c r="AJ20" s="242">
        <v>0</v>
      </c>
      <c r="AK20" s="242">
        <v>0</v>
      </c>
      <c r="AL20" s="242">
        <v>0</v>
      </c>
      <c r="AM20" s="234"/>
      <c r="AN20" s="242" t="s">
        <v>652</v>
      </c>
      <c r="AO20" s="242">
        <v>0</v>
      </c>
      <c r="AP20" s="242">
        <v>0</v>
      </c>
      <c r="AQ20" s="242">
        <v>0</v>
      </c>
      <c r="AR20" s="242">
        <v>0</v>
      </c>
      <c r="AS20" s="242">
        <v>0</v>
      </c>
      <c r="AT20" s="234"/>
      <c r="AU20" s="242" t="s">
        <v>654</v>
      </c>
      <c r="AV20" s="242">
        <v>0</v>
      </c>
      <c r="AW20" s="242">
        <v>0</v>
      </c>
      <c r="AX20" s="242">
        <v>0</v>
      </c>
      <c r="AY20" s="242">
        <v>0</v>
      </c>
      <c r="AZ20" s="242">
        <v>0</v>
      </c>
      <c r="BA20" s="234"/>
      <c r="BB20" s="242" t="s">
        <v>652</v>
      </c>
      <c r="BC20" s="242">
        <v>0</v>
      </c>
      <c r="BD20" s="242">
        <v>0</v>
      </c>
      <c r="BE20" s="242">
        <v>0</v>
      </c>
      <c r="BF20" s="242">
        <v>0</v>
      </c>
      <c r="BG20" s="242">
        <v>0</v>
      </c>
      <c r="BH20" s="236" t="s">
        <v>652</v>
      </c>
      <c r="BI20" s="242">
        <v>0</v>
      </c>
      <c r="BJ20" s="242">
        <v>0</v>
      </c>
      <c r="BK20" s="242">
        <v>0</v>
      </c>
      <c r="BL20" s="242">
        <v>0</v>
      </c>
      <c r="BM20" s="242">
        <v>0</v>
      </c>
      <c r="BN20" s="242"/>
      <c r="BO20" s="236"/>
      <c r="BP20" s="252">
        <v>11676768867.75</v>
      </c>
      <c r="BQ20" s="252">
        <v>123781</v>
      </c>
      <c r="BR20" s="252">
        <v>301</v>
      </c>
      <c r="BS20" s="234"/>
      <c r="BT20" s="254" t="s">
        <v>684</v>
      </c>
      <c r="BU20" s="254">
        <v>298</v>
      </c>
      <c r="BV20" s="254">
        <v>5</v>
      </c>
      <c r="BW20" s="254">
        <v>17</v>
      </c>
      <c r="BX20" s="254">
        <v>0</v>
      </c>
      <c r="BY20" s="254">
        <v>1</v>
      </c>
      <c r="BZ20" s="254">
        <v>287</v>
      </c>
      <c r="CA20" s="254">
        <v>239</v>
      </c>
      <c r="CB20" s="254">
        <v>59</v>
      </c>
      <c r="CC20" s="338" t="s">
        <v>494</v>
      </c>
      <c r="CD20" s="337" t="s">
        <v>687</v>
      </c>
      <c r="CE20" s="337" t="s">
        <v>689</v>
      </c>
      <c r="CF20" s="234"/>
      <c r="CG20" s="234"/>
      <c r="CH20" s="234"/>
      <c r="CI20" s="234"/>
      <c r="CJ20" s="234"/>
      <c r="CK20" s="234"/>
      <c r="CL20" s="234"/>
      <c r="CM20" s="234"/>
      <c r="CN20" s="234"/>
      <c r="CO20" s="234"/>
      <c r="CP20" s="234"/>
      <c r="CQ20" s="234"/>
      <c r="CR20" s="236"/>
      <c r="CS20" s="266" t="s">
        <v>713</v>
      </c>
      <c r="CT20" s="264">
        <v>10</v>
      </c>
      <c r="CU20" s="264" t="s">
        <v>711</v>
      </c>
      <c r="CV20" s="264">
        <v>-116983456.71000004</v>
      </c>
      <c r="CW20" s="264">
        <v>-384070000</v>
      </c>
      <c r="CX20" s="264">
        <v>38</v>
      </c>
      <c r="CY20" s="264">
        <v>2785311263.0899997</v>
      </c>
      <c r="CZ20" s="264">
        <v>2905840000</v>
      </c>
      <c r="DA20" s="264">
        <v>18</v>
      </c>
      <c r="DB20" s="264">
        <v>2902294719.8000002</v>
      </c>
      <c r="DC20" s="264">
        <v>3289910000</v>
      </c>
      <c r="DD20" s="264">
        <v>20</v>
      </c>
    </row>
    <row r="21" spans="1:108" x14ac:dyDescent="0.25">
      <c r="B21" s="178"/>
      <c r="C21" s="178"/>
      <c r="D21" s="178"/>
      <c r="E21" s="198"/>
      <c r="F21" s="198"/>
      <c r="G21" s="198"/>
      <c r="H21" s="198"/>
      <c r="J21" s="147" t="str">
        <f t="shared" ref="J21:J22" si="3">K21&amp;L21</f>
        <v>PBuy</v>
      </c>
      <c r="K21" s="223" t="s">
        <v>529</v>
      </c>
      <c r="L21" s="223" t="s">
        <v>528</v>
      </c>
      <c r="M21" s="227">
        <v>226544374639.20499</v>
      </c>
      <c r="O21" s="228"/>
      <c r="P21" s="228"/>
      <c r="Q21" s="228"/>
      <c r="S21" s="242"/>
      <c r="T21" s="247"/>
      <c r="U21" s="247"/>
      <c r="V21" s="247"/>
      <c r="W21" s="247"/>
      <c r="X21" s="247"/>
      <c r="Y21" s="234"/>
      <c r="Z21" s="242" t="s">
        <v>643</v>
      </c>
      <c r="AA21" s="242">
        <v>0</v>
      </c>
      <c r="AB21" s="242">
        <v>0</v>
      </c>
      <c r="AC21" s="242">
        <v>0</v>
      </c>
      <c r="AD21" s="242">
        <v>0</v>
      </c>
      <c r="AE21" s="242">
        <v>1</v>
      </c>
      <c r="AF21" s="242"/>
      <c r="AG21" s="242" t="s">
        <v>655</v>
      </c>
      <c r="AH21" s="242">
        <v>0</v>
      </c>
      <c r="AI21" s="242">
        <v>0</v>
      </c>
      <c r="AJ21" s="242">
        <v>0</v>
      </c>
      <c r="AK21" s="242">
        <v>0</v>
      </c>
      <c r="AL21" s="242">
        <v>0</v>
      </c>
      <c r="AM21" s="234"/>
      <c r="AN21" s="242" t="s">
        <v>653</v>
      </c>
      <c r="AO21" s="242">
        <v>0</v>
      </c>
      <c r="AP21" s="242">
        <v>0</v>
      </c>
      <c r="AQ21" s="242">
        <v>0</v>
      </c>
      <c r="AR21" s="242">
        <v>0</v>
      </c>
      <c r="AS21" s="242">
        <v>0</v>
      </c>
      <c r="AT21" s="234"/>
      <c r="AU21" s="242" t="s">
        <v>655</v>
      </c>
      <c r="AV21" s="242">
        <v>0</v>
      </c>
      <c r="AW21" s="242">
        <v>0</v>
      </c>
      <c r="AX21" s="242">
        <v>0</v>
      </c>
      <c r="AY21" s="242">
        <v>0</v>
      </c>
      <c r="AZ21" s="242">
        <v>0</v>
      </c>
      <c r="BA21" s="234"/>
      <c r="BB21" s="242" t="s">
        <v>653</v>
      </c>
      <c r="BC21" s="242">
        <v>0</v>
      </c>
      <c r="BD21" s="242">
        <v>0</v>
      </c>
      <c r="BE21" s="242">
        <v>0</v>
      </c>
      <c r="BF21" s="242">
        <v>0</v>
      </c>
      <c r="BG21" s="242">
        <v>0</v>
      </c>
      <c r="BH21" s="236" t="s">
        <v>653</v>
      </c>
      <c r="BI21" s="242">
        <v>0</v>
      </c>
      <c r="BJ21" s="242">
        <v>0</v>
      </c>
      <c r="BK21" s="242">
        <v>0</v>
      </c>
      <c r="BL21" s="242">
        <v>0</v>
      </c>
      <c r="BM21" s="242">
        <v>0</v>
      </c>
      <c r="BN21" s="242"/>
      <c r="BO21" s="236"/>
      <c r="BP21" s="252"/>
      <c r="BQ21" s="252"/>
      <c r="BR21" s="252"/>
      <c r="BS21" s="234"/>
      <c r="BT21" s="254" t="s">
        <v>685</v>
      </c>
      <c r="BU21" s="254">
        <v>1</v>
      </c>
      <c r="BV21" s="254">
        <v>0</v>
      </c>
      <c r="BW21" s="254">
        <v>0</v>
      </c>
      <c r="BX21" s="254">
        <v>0</v>
      </c>
      <c r="BY21" s="254">
        <v>0</v>
      </c>
      <c r="BZ21" s="254">
        <v>1</v>
      </c>
      <c r="CA21" s="254">
        <v>1</v>
      </c>
      <c r="CB21" s="254">
        <v>0</v>
      </c>
      <c r="CC21" s="335"/>
      <c r="CD21" s="339">
        <v>4198454376961835</v>
      </c>
      <c r="CE21" s="340">
        <v>5782433384273.791</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183434165310.88998</v>
      </c>
      <c r="O22" s="228"/>
      <c r="P22" s="228"/>
      <c r="Q22" s="228"/>
      <c r="S22" s="242"/>
      <c r="T22" s="247"/>
      <c r="U22" s="247"/>
      <c r="V22" s="247"/>
      <c r="W22" s="247"/>
      <c r="X22" s="247"/>
      <c r="Y22" s="234"/>
      <c r="Z22" s="242" t="s">
        <v>644</v>
      </c>
      <c r="AA22" s="242">
        <v>0</v>
      </c>
      <c r="AB22" s="242">
        <v>0</v>
      </c>
      <c r="AC22" s="242">
        <v>0</v>
      </c>
      <c r="AD22" s="242">
        <v>0</v>
      </c>
      <c r="AE22" s="242">
        <v>0</v>
      </c>
      <c r="AF22" s="242"/>
      <c r="AG22" s="242" t="s">
        <v>656</v>
      </c>
      <c r="AH22" s="242">
        <v>0</v>
      </c>
      <c r="AI22" s="242">
        <v>0</v>
      </c>
      <c r="AJ22" s="242">
        <v>0</v>
      </c>
      <c r="AK22" s="242">
        <v>0</v>
      </c>
      <c r="AL22" s="242">
        <v>0</v>
      </c>
      <c r="AM22" s="234"/>
      <c r="AN22" s="242" t="s">
        <v>654</v>
      </c>
      <c r="AO22" s="242">
        <v>0</v>
      </c>
      <c r="AP22" s="242">
        <v>0</v>
      </c>
      <c r="AQ22" s="242">
        <v>0</v>
      </c>
      <c r="AR22" s="242">
        <v>0</v>
      </c>
      <c r="AS22" s="242">
        <v>0</v>
      </c>
      <c r="AT22" s="234"/>
      <c r="AU22" s="242" t="s">
        <v>656</v>
      </c>
      <c r="AV22" s="242">
        <v>0</v>
      </c>
      <c r="AW22" s="242">
        <v>0</v>
      </c>
      <c r="AX22" s="242">
        <v>0</v>
      </c>
      <c r="AY22" s="242">
        <v>0</v>
      </c>
      <c r="AZ22" s="242">
        <v>0</v>
      </c>
      <c r="BA22" s="234"/>
      <c r="BB22" s="242" t="s">
        <v>654</v>
      </c>
      <c r="BC22" s="242">
        <v>0</v>
      </c>
      <c r="BD22" s="242">
        <v>0</v>
      </c>
      <c r="BE22" s="242">
        <v>0</v>
      </c>
      <c r="BF22" s="242">
        <v>0</v>
      </c>
      <c r="BG22" s="242">
        <v>0</v>
      </c>
      <c r="BH22" s="236" t="s">
        <v>654</v>
      </c>
      <c r="BI22" s="242">
        <v>0</v>
      </c>
      <c r="BJ22" s="242">
        <v>0</v>
      </c>
      <c r="BK22" s="242">
        <v>0</v>
      </c>
      <c r="BL22" s="242">
        <v>0</v>
      </c>
      <c r="BM22" s="242">
        <v>0</v>
      </c>
      <c r="BN22" s="242"/>
      <c r="BO22" s="245" t="s">
        <v>450</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618</v>
      </c>
      <c r="F23" s="216" t="s">
        <v>417</v>
      </c>
      <c r="G23" s="213" t="s">
        <v>199</v>
      </c>
      <c r="H23" s="213" t="s">
        <v>531</v>
      </c>
      <c r="I23" s="159"/>
      <c r="J23" s="147" t="str">
        <f>K23&amp;L23</f>
        <v>PSell</v>
      </c>
      <c r="K23" s="223" t="s">
        <v>529</v>
      </c>
      <c r="L23" s="223" t="s">
        <v>530</v>
      </c>
      <c r="M23" s="227">
        <v>226239828889.66498</v>
      </c>
      <c r="N23" s="157" t="s">
        <v>418</v>
      </c>
      <c r="O23" s="231" t="s">
        <v>199</v>
      </c>
      <c r="P23" s="231" t="s">
        <v>531</v>
      </c>
      <c r="Q23" s="228"/>
      <c r="S23" s="242"/>
      <c r="T23" s="247"/>
      <c r="U23" s="247"/>
      <c r="V23" s="247"/>
      <c r="W23" s="247"/>
      <c r="X23" s="247"/>
      <c r="Y23" s="234"/>
      <c r="Z23" s="242" t="s">
        <v>644</v>
      </c>
      <c r="AA23" s="242">
        <v>678600</v>
      </c>
      <c r="AB23" s="242">
        <v>6</v>
      </c>
      <c r="AC23" s="242">
        <v>2</v>
      </c>
      <c r="AD23" s="242">
        <v>63</v>
      </c>
      <c r="AE23" s="242">
        <v>1</v>
      </c>
      <c r="AF23" s="242"/>
      <c r="AG23" s="242" t="s">
        <v>657</v>
      </c>
      <c r="AH23" s="242">
        <v>0</v>
      </c>
      <c r="AI23" s="242">
        <v>0</v>
      </c>
      <c r="AJ23" s="242">
        <v>0</v>
      </c>
      <c r="AK23" s="242">
        <v>0</v>
      </c>
      <c r="AL23" s="242">
        <v>0</v>
      </c>
      <c r="AM23" s="234"/>
      <c r="AN23" s="242" t="s">
        <v>655</v>
      </c>
      <c r="AO23" s="242">
        <v>0</v>
      </c>
      <c r="AP23" s="242">
        <v>0</v>
      </c>
      <c r="AQ23" s="242">
        <v>0</v>
      </c>
      <c r="AR23" s="242">
        <v>0</v>
      </c>
      <c r="AS23" s="242">
        <v>0</v>
      </c>
      <c r="AT23" s="234"/>
      <c r="AU23" s="242" t="s">
        <v>657</v>
      </c>
      <c r="AV23" s="242">
        <v>0</v>
      </c>
      <c r="AW23" s="242">
        <v>0</v>
      </c>
      <c r="AX23" s="242">
        <v>0</v>
      </c>
      <c r="AY23" s="242">
        <v>0</v>
      </c>
      <c r="AZ23" s="242">
        <v>0</v>
      </c>
      <c r="BA23" s="234"/>
      <c r="BB23" s="242" t="s">
        <v>655</v>
      </c>
      <c r="BC23" s="242">
        <v>0</v>
      </c>
      <c r="BD23" s="242">
        <v>0</v>
      </c>
      <c r="BE23" s="242">
        <v>0</v>
      </c>
      <c r="BF23" s="242">
        <v>0</v>
      </c>
      <c r="BG23" s="242">
        <v>0</v>
      </c>
      <c r="BH23" s="236" t="s">
        <v>655</v>
      </c>
      <c r="BI23" s="242">
        <v>0</v>
      </c>
      <c r="BJ23" s="242">
        <v>0</v>
      </c>
      <c r="BK23" s="242">
        <v>0</v>
      </c>
      <c r="BL23" s="242">
        <v>0</v>
      </c>
      <c r="BM23" s="242">
        <v>0</v>
      </c>
      <c r="BN23" s="242"/>
      <c r="BO23" s="236"/>
      <c r="BP23" s="252">
        <v>1594650</v>
      </c>
      <c r="BQ23" s="252">
        <v>2100</v>
      </c>
      <c r="BR23" s="252">
        <v>2</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221</v>
      </c>
      <c r="C24" s="184">
        <v>38716</v>
      </c>
      <c r="D24" s="181">
        <v>18207.32</v>
      </c>
      <c r="E24" s="212">
        <v>1</v>
      </c>
      <c r="F24" s="198"/>
      <c r="G24" s="212" t="s">
        <v>244</v>
      </c>
      <c r="H24" s="212">
        <v>17681.911773340002</v>
      </c>
      <c r="I24" s="158"/>
      <c r="K24" s="220"/>
      <c r="L24" s="217"/>
      <c r="M24" s="217"/>
      <c r="O24" s="230" t="s">
        <v>244</v>
      </c>
      <c r="P24" s="230">
        <v>16953.192128350001</v>
      </c>
      <c r="Q24" s="228"/>
      <c r="S24" s="242"/>
      <c r="T24" s="247"/>
      <c r="U24" s="247"/>
      <c r="V24" s="247"/>
      <c r="W24" s="247"/>
      <c r="X24" s="247"/>
      <c r="Y24" s="234"/>
      <c r="Z24" s="242" t="s">
        <v>645</v>
      </c>
      <c r="AA24" s="242">
        <v>0</v>
      </c>
      <c r="AB24" s="242">
        <v>0</v>
      </c>
      <c r="AC24" s="242">
        <v>0</v>
      </c>
      <c r="AD24" s="242">
        <v>0</v>
      </c>
      <c r="AE24" s="242">
        <v>0</v>
      </c>
      <c r="AF24" s="242"/>
      <c r="AG24" s="242" t="s">
        <v>658</v>
      </c>
      <c r="AH24" s="242">
        <v>0</v>
      </c>
      <c r="AI24" s="242">
        <v>0</v>
      </c>
      <c r="AJ24" s="242">
        <v>0</v>
      </c>
      <c r="AK24" s="242">
        <v>0</v>
      </c>
      <c r="AL24" s="242">
        <v>0</v>
      </c>
      <c r="AM24" s="234"/>
      <c r="AN24" s="242" t="s">
        <v>656</v>
      </c>
      <c r="AO24" s="242">
        <v>0</v>
      </c>
      <c r="AP24" s="242">
        <v>0</v>
      </c>
      <c r="AQ24" s="242">
        <v>0</v>
      </c>
      <c r="AR24" s="242">
        <v>0</v>
      </c>
      <c r="AS24" s="242">
        <v>0</v>
      </c>
      <c r="AT24" s="234"/>
      <c r="AU24" s="242" t="s">
        <v>658</v>
      </c>
      <c r="AV24" s="242">
        <v>0</v>
      </c>
      <c r="AW24" s="242">
        <v>0</v>
      </c>
      <c r="AX24" s="242">
        <v>0</v>
      </c>
      <c r="AY24" s="242">
        <v>0</v>
      </c>
      <c r="AZ24" s="242">
        <v>0</v>
      </c>
      <c r="BA24" s="234"/>
      <c r="BB24" s="242" t="s">
        <v>656</v>
      </c>
      <c r="BC24" s="242">
        <v>0</v>
      </c>
      <c r="BD24" s="242">
        <v>0</v>
      </c>
      <c r="BE24" s="242">
        <v>0</v>
      </c>
      <c r="BF24" s="242">
        <v>0</v>
      </c>
      <c r="BG24" s="242">
        <v>0</v>
      </c>
      <c r="BH24" s="236" t="s">
        <v>656</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230</v>
      </c>
      <c r="C25" s="184">
        <v>38709</v>
      </c>
      <c r="D25" s="181">
        <v>34691.21</v>
      </c>
      <c r="E25" s="212">
        <v>1</v>
      </c>
      <c r="F25" s="198"/>
      <c r="G25" s="212" t="s">
        <v>245</v>
      </c>
      <c r="H25" s="212">
        <v>12982.64960397</v>
      </c>
      <c r="I25" s="158"/>
      <c r="K25" s="220"/>
      <c r="L25" s="217"/>
      <c r="M25" s="217"/>
      <c r="O25" s="230" t="s">
        <v>245</v>
      </c>
      <c r="P25" s="230">
        <v>12483.995419110001</v>
      </c>
      <c r="Q25" s="228"/>
      <c r="S25" s="242"/>
      <c r="T25" s="247"/>
      <c r="U25" s="247"/>
      <c r="V25" s="247"/>
      <c r="W25" s="247"/>
      <c r="X25" s="247"/>
      <c r="Y25" s="234"/>
      <c r="Z25" s="242" t="s">
        <v>645</v>
      </c>
      <c r="AA25" s="242">
        <v>3460960</v>
      </c>
      <c r="AB25" s="242">
        <v>80</v>
      </c>
      <c r="AC25" s="242">
        <v>4</v>
      </c>
      <c r="AD25" s="242">
        <v>7980</v>
      </c>
      <c r="AE25" s="242">
        <v>1</v>
      </c>
      <c r="AF25" s="242"/>
      <c r="AG25" s="242" t="s">
        <v>659</v>
      </c>
      <c r="AH25" s="242">
        <v>0</v>
      </c>
      <c r="AI25" s="242">
        <v>0</v>
      </c>
      <c r="AJ25" s="242">
        <v>0</v>
      </c>
      <c r="AK25" s="242">
        <v>0</v>
      </c>
      <c r="AL25" s="242">
        <v>0</v>
      </c>
      <c r="AM25" s="234"/>
      <c r="AN25" s="242" t="s">
        <v>657</v>
      </c>
      <c r="AO25" s="242">
        <v>0</v>
      </c>
      <c r="AP25" s="242">
        <v>0</v>
      </c>
      <c r="AQ25" s="242">
        <v>0</v>
      </c>
      <c r="AR25" s="242">
        <v>0</v>
      </c>
      <c r="AS25" s="242">
        <v>0</v>
      </c>
      <c r="AT25" s="234"/>
      <c r="AU25" s="242" t="s">
        <v>659</v>
      </c>
      <c r="AV25" s="242">
        <v>0</v>
      </c>
      <c r="AW25" s="242">
        <v>0</v>
      </c>
      <c r="AX25" s="242">
        <v>0</v>
      </c>
      <c r="AY25" s="242">
        <v>0</v>
      </c>
      <c r="AZ25" s="242">
        <v>0</v>
      </c>
      <c r="BA25" s="234"/>
      <c r="BB25" s="242" t="s">
        <v>657</v>
      </c>
      <c r="BC25" s="242">
        <v>0</v>
      </c>
      <c r="BD25" s="242">
        <v>0</v>
      </c>
      <c r="BE25" s="242">
        <v>0</v>
      </c>
      <c r="BF25" s="242">
        <v>0</v>
      </c>
      <c r="BG25" s="242">
        <v>0</v>
      </c>
      <c r="BH25" s="236" t="s">
        <v>657</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239</v>
      </c>
      <c r="C26" s="184">
        <v>38713</v>
      </c>
      <c r="D26" s="181">
        <v>1846.94</v>
      </c>
      <c r="E26" s="212">
        <v>1</v>
      </c>
      <c r="F26" s="198"/>
      <c r="G26" s="212" t="s">
        <v>247</v>
      </c>
      <c r="H26" s="212">
        <v>4220.8378131600002</v>
      </c>
      <c r="I26" s="158"/>
      <c r="J26" s="152"/>
      <c r="K26" s="221"/>
      <c r="L26" s="217"/>
      <c r="M26" s="217"/>
      <c r="O26" s="230" t="s">
        <v>247</v>
      </c>
      <c r="P26" s="230">
        <v>4006.9909008599998</v>
      </c>
      <c r="Q26" s="228"/>
      <c r="S26" s="242"/>
      <c r="T26" s="247"/>
      <c r="U26" s="247"/>
      <c r="V26" s="247"/>
      <c r="W26" s="247"/>
      <c r="X26" s="247"/>
      <c r="Y26" s="234"/>
      <c r="Z26" s="242" t="s">
        <v>646</v>
      </c>
      <c r="AA26" s="242">
        <v>0</v>
      </c>
      <c r="AB26" s="242">
        <v>0</v>
      </c>
      <c r="AC26" s="242">
        <v>0</v>
      </c>
      <c r="AD26" s="242">
        <v>0</v>
      </c>
      <c r="AE26" s="242">
        <v>0</v>
      </c>
      <c r="AF26" s="242"/>
      <c r="AG26" s="242" t="s">
        <v>660</v>
      </c>
      <c r="AH26" s="242">
        <v>0</v>
      </c>
      <c r="AI26" s="242">
        <v>0</v>
      </c>
      <c r="AJ26" s="242">
        <v>0</v>
      </c>
      <c r="AK26" s="242">
        <v>0</v>
      </c>
      <c r="AL26" s="242">
        <v>0</v>
      </c>
      <c r="AM26" s="234"/>
      <c r="AN26" s="242" t="s">
        <v>658</v>
      </c>
      <c r="AO26" s="242">
        <v>0</v>
      </c>
      <c r="AP26" s="242">
        <v>0</v>
      </c>
      <c r="AQ26" s="242">
        <v>0</v>
      </c>
      <c r="AR26" s="242">
        <v>133</v>
      </c>
      <c r="AS26" s="242">
        <v>0</v>
      </c>
      <c r="AT26" s="234"/>
      <c r="AU26" s="242" t="s">
        <v>660</v>
      </c>
      <c r="AV26" s="242">
        <v>0</v>
      </c>
      <c r="AW26" s="242">
        <v>0</v>
      </c>
      <c r="AX26" s="242">
        <v>0</v>
      </c>
      <c r="AY26" s="242">
        <v>0</v>
      </c>
      <c r="AZ26" s="242">
        <v>0</v>
      </c>
      <c r="BA26" s="234"/>
      <c r="BB26" s="242" t="s">
        <v>660</v>
      </c>
      <c r="BC26" s="242">
        <v>0</v>
      </c>
      <c r="BD26" s="242">
        <v>0</v>
      </c>
      <c r="BE26" s="242">
        <v>0</v>
      </c>
      <c r="BF26" s="242">
        <v>0</v>
      </c>
      <c r="BG26" s="242">
        <v>0</v>
      </c>
      <c r="BH26" s="236" t="s">
        <v>660</v>
      </c>
      <c r="BI26" s="242">
        <v>0</v>
      </c>
      <c r="BJ26" s="242">
        <v>0</v>
      </c>
      <c r="BK26" s="242">
        <v>0</v>
      </c>
      <c r="BL26" s="242">
        <v>0</v>
      </c>
      <c r="BM26" s="242">
        <v>0</v>
      </c>
      <c r="BN26" s="242"/>
      <c r="BO26" s="236"/>
      <c r="BP26" s="252">
        <v>1071034</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86</v>
      </c>
      <c r="C27" s="184">
        <v>41849</v>
      </c>
      <c r="D27" s="181">
        <v>22461.45680964</v>
      </c>
      <c r="E27" s="212">
        <v>1</v>
      </c>
      <c r="F27" s="198"/>
      <c r="G27" s="212" t="s">
        <v>248</v>
      </c>
      <c r="H27" s="212">
        <v>4080.3157040000001</v>
      </c>
      <c r="I27" s="158"/>
      <c r="J27" s="152"/>
      <c r="K27" s="220"/>
      <c r="L27" s="217"/>
      <c r="M27" s="217"/>
      <c r="O27" s="230" t="s">
        <v>248</v>
      </c>
      <c r="P27" s="230">
        <v>3975.09248398</v>
      </c>
      <c r="Q27" s="228"/>
      <c r="S27" s="242"/>
      <c r="T27" s="247"/>
      <c r="U27" s="247"/>
      <c r="V27" s="247"/>
      <c r="W27" s="247"/>
      <c r="X27" s="247"/>
      <c r="Y27" s="234"/>
      <c r="Z27" s="242" t="s">
        <v>646</v>
      </c>
      <c r="AA27" s="242">
        <v>0</v>
      </c>
      <c r="AB27" s="242">
        <v>0</v>
      </c>
      <c r="AC27" s="242">
        <v>0</v>
      </c>
      <c r="AD27" s="242">
        <v>0</v>
      </c>
      <c r="AE27" s="242">
        <v>1</v>
      </c>
      <c r="AF27" s="242"/>
      <c r="AG27" s="242" t="s">
        <v>661</v>
      </c>
      <c r="AH27" s="242">
        <v>0</v>
      </c>
      <c r="AI27" s="242">
        <v>0</v>
      </c>
      <c r="AJ27" s="242">
        <v>0</v>
      </c>
      <c r="AK27" s="242">
        <v>0</v>
      </c>
      <c r="AL27" s="242">
        <v>0</v>
      </c>
      <c r="AM27" s="234"/>
      <c r="AN27" s="242" t="s">
        <v>659</v>
      </c>
      <c r="AO27" s="242">
        <v>0</v>
      </c>
      <c r="AP27" s="242">
        <v>0</v>
      </c>
      <c r="AQ27" s="242">
        <v>0</v>
      </c>
      <c r="AR27" s="242">
        <v>76</v>
      </c>
      <c r="AS27" s="242">
        <v>0</v>
      </c>
      <c r="AT27" s="234"/>
      <c r="AU27" s="242" t="s">
        <v>661</v>
      </c>
      <c r="AV27" s="242">
        <v>0</v>
      </c>
      <c r="AW27" s="242">
        <v>0</v>
      </c>
      <c r="AX27" s="242">
        <v>0</v>
      </c>
      <c r="AY27" s="242">
        <v>0</v>
      </c>
      <c r="AZ27" s="242">
        <v>0</v>
      </c>
      <c r="BA27" s="234"/>
      <c r="BB27" s="242" t="s">
        <v>661</v>
      </c>
      <c r="BC27" s="242">
        <v>0</v>
      </c>
      <c r="BD27" s="242">
        <v>0</v>
      </c>
      <c r="BE27" s="242">
        <v>0</v>
      </c>
      <c r="BF27" s="242">
        <v>0</v>
      </c>
      <c r="BG27" s="242">
        <v>0</v>
      </c>
      <c r="BH27" s="236" t="s">
        <v>661</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692</v>
      </c>
      <c r="CT27" s="264" t="s">
        <v>693</v>
      </c>
      <c r="CU27" s="264" t="s">
        <v>694</v>
      </c>
      <c r="CV27" s="264" t="s">
        <v>695</v>
      </c>
      <c r="CW27" s="264" t="s">
        <v>696</v>
      </c>
      <c r="CX27" s="264" t="s">
        <v>697</v>
      </c>
      <c r="CY27" s="264" t="s">
        <v>698</v>
      </c>
      <c r="CZ27" s="264" t="s">
        <v>699</v>
      </c>
      <c r="DA27" s="264" t="s">
        <v>700</v>
      </c>
      <c r="DB27" s="264" t="s">
        <v>701</v>
      </c>
      <c r="DC27" s="264" t="s">
        <v>702</v>
      </c>
      <c r="DD27" s="264" t="s">
        <v>703</v>
      </c>
    </row>
    <row r="28" spans="1:108" ht="14.4" x14ac:dyDescent="0.3">
      <c r="B28" s="181" t="s">
        <v>246</v>
      </c>
      <c r="C28" s="184">
        <v>43347</v>
      </c>
      <c r="D28" s="181">
        <v>28871.375256529998</v>
      </c>
      <c r="E28" s="212">
        <v>1</v>
      </c>
      <c r="F28" s="198"/>
      <c r="G28" s="212" t="s">
        <v>88</v>
      </c>
      <c r="H28" s="212">
        <v>4829.9532087199996</v>
      </c>
      <c r="I28" s="158"/>
      <c r="J28" s="152"/>
      <c r="K28" s="220"/>
      <c r="L28" s="222"/>
      <c r="M28" s="225"/>
      <c r="O28" s="230" t="s">
        <v>88</v>
      </c>
      <c r="P28" s="230">
        <v>4596.4388715499999</v>
      </c>
      <c r="Q28" s="228"/>
      <c r="S28" s="234"/>
      <c r="T28" s="234"/>
      <c r="U28" s="234"/>
      <c r="V28" s="234"/>
      <c r="W28" s="234"/>
      <c r="X28" s="234"/>
      <c r="Y28" s="234"/>
      <c r="Z28" s="242" t="s">
        <v>647</v>
      </c>
      <c r="AA28" s="242">
        <v>0</v>
      </c>
      <c r="AB28" s="242">
        <v>0</v>
      </c>
      <c r="AC28" s="242">
        <v>0</v>
      </c>
      <c r="AD28" s="242">
        <v>0</v>
      </c>
      <c r="AE28" s="242">
        <v>0</v>
      </c>
      <c r="AF28" s="242"/>
      <c r="AG28" s="242" t="s">
        <v>662</v>
      </c>
      <c r="AH28" s="242">
        <v>0</v>
      </c>
      <c r="AI28" s="242">
        <v>0</v>
      </c>
      <c r="AJ28" s="242">
        <v>0</v>
      </c>
      <c r="AK28" s="242">
        <v>0</v>
      </c>
      <c r="AL28" s="242">
        <v>0</v>
      </c>
      <c r="AM28" s="234"/>
      <c r="AN28" s="242" t="s">
        <v>660</v>
      </c>
      <c r="AO28" s="242">
        <v>0</v>
      </c>
      <c r="AP28" s="242">
        <v>0</v>
      </c>
      <c r="AQ28" s="242">
        <v>0</v>
      </c>
      <c r="AR28" s="242">
        <v>0</v>
      </c>
      <c r="AS28" s="242">
        <v>0</v>
      </c>
      <c r="AT28" s="234"/>
      <c r="AU28" s="242" t="s">
        <v>662</v>
      </c>
      <c r="AV28" s="242">
        <v>0</v>
      </c>
      <c r="AW28" s="242">
        <v>0</v>
      </c>
      <c r="AX28" s="242">
        <v>0</v>
      </c>
      <c r="AY28" s="242">
        <v>0</v>
      </c>
      <c r="AZ28" s="242">
        <v>0</v>
      </c>
      <c r="BA28" s="234"/>
      <c r="BB28" s="242" t="s">
        <v>662</v>
      </c>
      <c r="BC28" s="242">
        <v>0</v>
      </c>
      <c r="BD28" s="242">
        <v>0</v>
      </c>
      <c r="BE28" s="242">
        <v>0</v>
      </c>
      <c r="BF28" s="242">
        <v>0</v>
      </c>
      <c r="BG28" s="242">
        <v>0</v>
      </c>
      <c r="BH28" s="236" t="s">
        <v>662</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42</v>
      </c>
      <c r="CU28" s="264" t="s">
        <v>704</v>
      </c>
      <c r="CV28" s="264">
        <v>0</v>
      </c>
      <c r="CW28" s="264">
        <v>9858487671</v>
      </c>
      <c r="CX28" s="264">
        <v>4702</v>
      </c>
      <c r="CY28" s="264">
        <v>0</v>
      </c>
      <c r="CZ28" s="264">
        <v>239249619465</v>
      </c>
      <c r="DA28" s="264">
        <v>2475</v>
      </c>
      <c r="DB28" s="264">
        <v>0</v>
      </c>
      <c r="DC28" s="264">
        <v>229391131794</v>
      </c>
      <c r="DD28" s="264">
        <v>2227</v>
      </c>
    </row>
    <row r="29" spans="1:108" x14ac:dyDescent="0.25">
      <c r="B29" s="181" t="s">
        <v>250</v>
      </c>
      <c r="C29" s="184">
        <v>37970</v>
      </c>
      <c r="D29" s="181">
        <v>1201.19</v>
      </c>
      <c r="E29" s="212">
        <v>1</v>
      </c>
      <c r="F29" s="198"/>
      <c r="G29" s="212" t="s">
        <v>55</v>
      </c>
      <c r="H29" s="212">
        <v>67052.40039101</v>
      </c>
      <c r="I29" s="158"/>
      <c r="J29" s="152"/>
      <c r="K29" s="220"/>
      <c r="L29" s="217"/>
      <c r="M29" s="217"/>
      <c r="O29" s="230" t="s">
        <v>55</v>
      </c>
      <c r="P29" s="230">
        <v>64063.817360809997</v>
      </c>
      <c r="Q29" s="228"/>
      <c r="S29" s="234"/>
      <c r="T29" s="234"/>
      <c r="U29" s="234"/>
      <c r="V29" s="234"/>
      <c r="W29" s="234"/>
      <c r="X29" s="234"/>
      <c r="Y29" s="234"/>
      <c r="Z29" s="242" t="s">
        <v>647</v>
      </c>
      <c r="AA29" s="242">
        <v>103521572.40000001</v>
      </c>
      <c r="AB29" s="242">
        <v>363</v>
      </c>
      <c r="AC29" s="242">
        <v>34</v>
      </c>
      <c r="AD29" s="242">
        <v>8136</v>
      </c>
      <c r="AE29" s="242">
        <v>1</v>
      </c>
      <c r="AF29" s="242"/>
      <c r="AG29" s="242" t="s">
        <v>663</v>
      </c>
      <c r="AH29" s="242">
        <v>0</v>
      </c>
      <c r="AI29" s="242">
        <v>0</v>
      </c>
      <c r="AJ29" s="242">
        <v>0</v>
      </c>
      <c r="AK29" s="242">
        <v>1101</v>
      </c>
      <c r="AL29" s="242">
        <v>0</v>
      </c>
      <c r="AM29" s="234"/>
      <c r="AN29" s="242" t="s">
        <v>661</v>
      </c>
      <c r="AO29" s="242">
        <v>0</v>
      </c>
      <c r="AP29" s="242">
        <v>0</v>
      </c>
      <c r="AQ29" s="242">
        <v>0</v>
      </c>
      <c r="AR29" s="242">
        <v>0</v>
      </c>
      <c r="AS29" s="242">
        <v>0</v>
      </c>
      <c r="AT29" s="234"/>
      <c r="AU29" s="242" t="s">
        <v>663</v>
      </c>
      <c r="AV29" s="242">
        <v>292273</v>
      </c>
      <c r="AW29" s="242">
        <v>21</v>
      </c>
      <c r="AX29" s="242">
        <v>6</v>
      </c>
      <c r="AY29" s="242">
        <v>491</v>
      </c>
      <c r="AZ29" s="242">
        <v>0</v>
      </c>
      <c r="BA29" s="234"/>
      <c r="BB29" s="242" t="s">
        <v>663</v>
      </c>
      <c r="BC29" s="242">
        <v>5895722.6200000001</v>
      </c>
      <c r="BD29" s="242">
        <v>808</v>
      </c>
      <c r="BE29" s="242">
        <v>80</v>
      </c>
      <c r="BF29" s="242">
        <v>86614</v>
      </c>
      <c r="BG29" s="242">
        <v>0</v>
      </c>
      <c r="BH29" s="236" t="s">
        <v>663</v>
      </c>
      <c r="BI29" s="242">
        <v>72100</v>
      </c>
      <c r="BJ29" s="242">
        <v>104</v>
      </c>
      <c r="BK29" s="242">
        <v>4</v>
      </c>
      <c r="BL29" s="242">
        <v>4038</v>
      </c>
      <c r="BM29" s="242">
        <v>0</v>
      </c>
      <c r="BN29" s="242"/>
      <c r="BO29" s="236"/>
      <c r="BP29" s="252">
        <v>126584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v>
      </c>
      <c r="CU29" s="264" t="s">
        <v>705</v>
      </c>
      <c r="CV29" s="264">
        <v>39229714.900000006</v>
      </c>
      <c r="CW29" s="264">
        <v>-11000000</v>
      </c>
      <c r="CX29" s="264">
        <v>3</v>
      </c>
      <c r="CY29" s="264">
        <v>207493479.90000001</v>
      </c>
      <c r="CZ29" s="264">
        <v>189000000</v>
      </c>
      <c r="DA29" s="264">
        <v>1</v>
      </c>
      <c r="DB29" s="264">
        <v>168263765</v>
      </c>
      <c r="DC29" s="264">
        <v>200000000</v>
      </c>
      <c r="DD29" s="264">
        <v>2</v>
      </c>
    </row>
    <row r="30" spans="1:108" x14ac:dyDescent="0.25">
      <c r="B30" s="181" t="s">
        <v>44</v>
      </c>
      <c r="C30" s="184">
        <v>42594</v>
      </c>
      <c r="D30" s="181">
        <v>82603.124167989998</v>
      </c>
      <c r="E30" s="212">
        <v>1</v>
      </c>
      <c r="F30" s="198"/>
      <c r="G30" s="212" t="s">
        <v>44</v>
      </c>
      <c r="H30" s="212">
        <v>79701.572592080003</v>
      </c>
      <c r="I30" s="158"/>
      <c r="J30" s="152"/>
      <c r="K30" s="220"/>
      <c r="L30" s="217"/>
      <c r="M30" s="217"/>
      <c r="O30" s="230" t="s">
        <v>44</v>
      </c>
      <c r="P30" s="230">
        <v>76876.787215389995</v>
      </c>
      <c r="Q30" s="228"/>
      <c r="S30" s="243"/>
      <c r="T30" s="246"/>
      <c r="U30" s="246"/>
      <c r="V30" s="246"/>
      <c r="W30" s="246"/>
      <c r="X30" s="246"/>
      <c r="Y30" s="234"/>
      <c r="Z30" s="242" t="s">
        <v>648</v>
      </c>
      <c r="AA30" s="242">
        <v>0</v>
      </c>
      <c r="AB30" s="242">
        <v>0</v>
      </c>
      <c r="AC30" s="242">
        <v>0</v>
      </c>
      <c r="AD30" s="242">
        <v>0</v>
      </c>
      <c r="AE30" s="242">
        <v>0</v>
      </c>
      <c r="AF30" s="242"/>
      <c r="AG30" s="242" t="s">
        <v>664</v>
      </c>
      <c r="AH30" s="242">
        <v>0</v>
      </c>
      <c r="AI30" s="242">
        <v>0</v>
      </c>
      <c r="AJ30" s="242">
        <v>0</v>
      </c>
      <c r="AK30" s="242">
        <v>0</v>
      </c>
      <c r="AL30" s="242">
        <v>0</v>
      </c>
      <c r="AM30" s="234"/>
      <c r="AN30" s="242" t="s">
        <v>662</v>
      </c>
      <c r="AO30" s="242">
        <v>0</v>
      </c>
      <c r="AP30" s="242">
        <v>0</v>
      </c>
      <c r="AQ30" s="242">
        <v>0</v>
      </c>
      <c r="AR30" s="242">
        <v>0</v>
      </c>
      <c r="AS30" s="242">
        <v>0</v>
      </c>
      <c r="AT30" s="234"/>
      <c r="AU30" s="242" t="s">
        <v>664</v>
      </c>
      <c r="AV30" s="242">
        <v>0</v>
      </c>
      <c r="AW30" s="242">
        <v>0</v>
      </c>
      <c r="AX30" s="242">
        <v>0</v>
      </c>
      <c r="AY30" s="242">
        <v>0</v>
      </c>
      <c r="AZ30" s="242">
        <v>0</v>
      </c>
      <c r="BA30" s="234"/>
      <c r="BB30" s="242" t="s">
        <v>664</v>
      </c>
      <c r="BC30" s="242">
        <v>0</v>
      </c>
      <c r="BD30" s="242">
        <v>0</v>
      </c>
      <c r="BE30" s="242">
        <v>0</v>
      </c>
      <c r="BF30" s="242">
        <v>0</v>
      </c>
      <c r="BG30" s="242">
        <v>0</v>
      </c>
      <c r="BH30" s="236" t="s">
        <v>664</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27</v>
      </c>
      <c r="CU30" s="264" t="s">
        <v>707</v>
      </c>
      <c r="CV30" s="264">
        <v>-1322747452388.3081</v>
      </c>
      <c r="CW30" s="264">
        <v>-1177329219447</v>
      </c>
      <c r="CX30" s="264">
        <v>6141</v>
      </c>
      <c r="CY30" s="264">
        <v>384189407030.79999</v>
      </c>
      <c r="CZ30" s="264">
        <v>440712146855</v>
      </c>
      <c r="DA30" s="264">
        <v>3021</v>
      </c>
      <c r="DB30" s="264">
        <v>1706936859419.1089</v>
      </c>
      <c r="DC30" s="264">
        <v>1618041366302</v>
      </c>
      <c r="DD30" s="264">
        <v>3120</v>
      </c>
    </row>
    <row r="31" spans="1:108" x14ac:dyDescent="0.25">
      <c r="B31" s="181" t="s">
        <v>619</v>
      </c>
      <c r="C31" s="184">
        <v>42115</v>
      </c>
      <c r="D31" s="181">
        <v>1374.4866460000001</v>
      </c>
      <c r="E31" s="212">
        <v>1</v>
      </c>
      <c r="F31" s="203"/>
      <c r="G31" s="212" t="s">
        <v>46</v>
      </c>
      <c r="H31" s="212">
        <v>67508.206986389996</v>
      </c>
      <c r="I31" s="158"/>
      <c r="J31" s="153"/>
      <c r="K31" s="218"/>
      <c r="L31" s="217"/>
      <c r="M31" s="217"/>
      <c r="O31" s="230" t="s">
        <v>46</v>
      </c>
      <c r="P31" s="230">
        <v>63199.422052649999</v>
      </c>
      <c r="Q31" s="228"/>
      <c r="R31" s="152"/>
      <c r="S31" s="242"/>
      <c r="T31" s="247"/>
      <c r="U31" s="247"/>
      <c r="V31" s="247"/>
      <c r="W31" s="247"/>
      <c r="X31" s="247"/>
      <c r="Y31" s="234"/>
      <c r="Z31" s="242" t="s">
        <v>648</v>
      </c>
      <c r="AA31" s="242">
        <v>46946760</v>
      </c>
      <c r="AB31" s="242">
        <v>262</v>
      </c>
      <c r="AC31" s="242">
        <v>24</v>
      </c>
      <c r="AD31" s="242">
        <v>859</v>
      </c>
      <c r="AE31" s="242">
        <v>1</v>
      </c>
      <c r="AF31" s="242"/>
      <c r="AG31" s="242" t="s">
        <v>665</v>
      </c>
      <c r="AH31" s="242">
        <v>0</v>
      </c>
      <c r="AI31" s="242">
        <v>0</v>
      </c>
      <c r="AJ31" s="242">
        <v>0</v>
      </c>
      <c r="AK31" s="242">
        <v>0</v>
      </c>
      <c r="AL31" s="242">
        <v>0</v>
      </c>
      <c r="AM31" s="234"/>
      <c r="AN31" s="242" t="s">
        <v>663</v>
      </c>
      <c r="AO31" s="242">
        <v>4179887.5</v>
      </c>
      <c r="AP31" s="242">
        <v>448</v>
      </c>
      <c r="AQ31" s="242">
        <v>124</v>
      </c>
      <c r="AR31" s="242">
        <v>47646</v>
      </c>
      <c r="AS31" s="242">
        <v>0</v>
      </c>
      <c r="AT31" s="234"/>
      <c r="AU31" s="242" t="s">
        <v>665</v>
      </c>
      <c r="AV31" s="242">
        <v>0</v>
      </c>
      <c r="AW31" s="242">
        <v>0</v>
      </c>
      <c r="AX31" s="242">
        <v>0</v>
      </c>
      <c r="AY31" s="242">
        <v>0</v>
      </c>
      <c r="AZ31" s="242">
        <v>0</v>
      </c>
      <c r="BA31" s="234"/>
      <c r="BB31" s="242" t="s">
        <v>665</v>
      </c>
      <c r="BC31" s="242">
        <v>0</v>
      </c>
      <c r="BD31" s="242">
        <v>0</v>
      </c>
      <c r="BE31" s="242">
        <v>0</v>
      </c>
      <c r="BF31" s="242">
        <v>0</v>
      </c>
      <c r="BG31" s="242">
        <v>0</v>
      </c>
      <c r="BH31" s="236" t="s">
        <v>665</v>
      </c>
      <c r="BI31" s="242">
        <v>0</v>
      </c>
      <c r="BJ31" s="242">
        <v>0</v>
      </c>
      <c r="BK31" s="242">
        <v>0</v>
      </c>
      <c r="BL31" s="242">
        <v>0</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27</v>
      </c>
      <c r="CU31" s="264" t="s">
        <v>708</v>
      </c>
      <c r="CV31" s="264">
        <v>1264497292911.9404</v>
      </c>
      <c r="CW31" s="264">
        <v>1125511081633</v>
      </c>
      <c r="CX31" s="264">
        <v>5907</v>
      </c>
      <c r="CY31" s="264">
        <v>1631339945588.3101</v>
      </c>
      <c r="CZ31" s="264">
        <v>1546520631633</v>
      </c>
      <c r="DA31" s="264">
        <v>2986</v>
      </c>
      <c r="DB31" s="264">
        <v>366842652676.37</v>
      </c>
      <c r="DC31" s="264">
        <v>421009550000</v>
      </c>
      <c r="DD31" s="264">
        <v>2921</v>
      </c>
    </row>
    <row r="32" spans="1:108" x14ac:dyDescent="0.25">
      <c r="B32" s="181" t="s">
        <v>620</v>
      </c>
      <c r="C32" s="184">
        <v>42118</v>
      </c>
      <c r="D32" s="181">
        <v>1225.1600000000001</v>
      </c>
      <c r="E32" s="212">
        <v>1</v>
      </c>
      <c r="F32" s="198"/>
      <c r="G32" s="212" t="s">
        <v>42</v>
      </c>
      <c r="H32" s="212">
        <v>73709.387483660001</v>
      </c>
      <c r="I32" s="158"/>
      <c r="J32" s="152"/>
      <c r="K32" s="218"/>
      <c r="L32" s="217"/>
      <c r="M32" s="217"/>
      <c r="O32" s="230" t="s">
        <v>42</v>
      </c>
      <c r="P32" s="230">
        <v>70475.017329440001</v>
      </c>
      <c r="Q32" s="228"/>
      <c r="R32" s="152"/>
      <c r="S32" s="242"/>
      <c r="T32" s="247"/>
      <c r="U32" s="247"/>
      <c r="V32" s="247"/>
      <c r="W32" s="247"/>
      <c r="X32" s="247"/>
      <c r="Y32" s="234"/>
      <c r="Z32" s="242" t="s">
        <v>649</v>
      </c>
      <c r="AA32" s="242">
        <v>0</v>
      </c>
      <c r="AB32" s="242">
        <v>0</v>
      </c>
      <c r="AC32" s="242">
        <v>0</v>
      </c>
      <c r="AD32" s="242">
        <v>0</v>
      </c>
      <c r="AE32" s="242">
        <v>0</v>
      </c>
      <c r="AF32" s="242"/>
      <c r="AG32" s="242" t="s">
        <v>666</v>
      </c>
      <c r="AH32" s="242">
        <v>0</v>
      </c>
      <c r="AI32" s="242">
        <v>0</v>
      </c>
      <c r="AJ32" s="242">
        <v>0</v>
      </c>
      <c r="AK32" s="242">
        <v>0</v>
      </c>
      <c r="AL32" s="242">
        <v>0</v>
      </c>
      <c r="AM32" s="234"/>
      <c r="AN32" s="242" t="s">
        <v>664</v>
      </c>
      <c r="AO32" s="242">
        <v>0</v>
      </c>
      <c r="AP32" s="242">
        <v>0</v>
      </c>
      <c r="AQ32" s="242">
        <v>0</v>
      </c>
      <c r="AR32" s="242">
        <v>0</v>
      </c>
      <c r="AS32" s="242">
        <v>0</v>
      </c>
      <c r="AT32" s="234"/>
      <c r="AU32" s="242" t="s">
        <v>666</v>
      </c>
      <c r="AV32" s="242">
        <v>0</v>
      </c>
      <c r="AW32" s="242">
        <v>0</v>
      </c>
      <c r="AX32" s="242">
        <v>0</v>
      </c>
      <c r="AY32" s="242">
        <v>0</v>
      </c>
      <c r="AZ32" s="242">
        <v>0</v>
      </c>
      <c r="BA32" s="234"/>
      <c r="BB32" s="242" t="s">
        <v>666</v>
      </c>
      <c r="BC32" s="242">
        <v>0</v>
      </c>
      <c r="BD32" s="242">
        <v>0</v>
      </c>
      <c r="BE32" s="242">
        <v>0</v>
      </c>
      <c r="BF32" s="242">
        <v>0</v>
      </c>
      <c r="BG32" s="242">
        <v>0</v>
      </c>
      <c r="BH32" s="236" t="s">
        <v>666</v>
      </c>
      <c r="BI32" s="242">
        <v>0</v>
      </c>
      <c r="BJ32" s="242">
        <v>0</v>
      </c>
      <c r="BK32" s="242">
        <v>0</v>
      </c>
      <c r="BL32" s="242">
        <v>0</v>
      </c>
      <c r="BM32" s="242">
        <v>0</v>
      </c>
      <c r="BN32" s="242"/>
      <c r="BO32" s="234"/>
      <c r="BP32" s="252">
        <v>1205728272107.8401</v>
      </c>
      <c r="BQ32" s="252">
        <v>12028332</v>
      </c>
      <c r="BR32" s="252">
        <v>11900</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415</v>
      </c>
      <c r="CU32" s="264" t="s">
        <v>709</v>
      </c>
      <c r="CV32" s="264">
        <v>-63793403393.729996</v>
      </c>
      <c r="CW32" s="264">
        <v>-69573165722</v>
      </c>
      <c r="CX32" s="264">
        <v>9400</v>
      </c>
      <c r="CY32" s="264">
        <v>207770669533.60999</v>
      </c>
      <c r="CZ32" s="264">
        <v>210571293635</v>
      </c>
      <c r="DA32" s="264">
        <v>4506</v>
      </c>
      <c r="DB32" s="264">
        <v>271564072927.34</v>
      </c>
      <c r="DC32" s="264">
        <v>280144459357</v>
      </c>
      <c r="DD32" s="264">
        <v>4894</v>
      </c>
    </row>
    <row r="33" spans="1:108" x14ac:dyDescent="0.25">
      <c r="B33" s="181" t="s">
        <v>533</v>
      </c>
      <c r="C33" s="184">
        <v>44560</v>
      </c>
      <c r="D33" s="181">
        <v>71690.840203440006</v>
      </c>
      <c r="E33" s="212">
        <v>1</v>
      </c>
      <c r="F33" s="199"/>
      <c r="G33" s="212" t="s">
        <v>48</v>
      </c>
      <c r="H33" s="212">
        <v>8617.2694423800003</v>
      </c>
      <c r="I33" s="158"/>
      <c r="J33" s="152"/>
      <c r="K33" s="217"/>
      <c r="L33" s="217"/>
      <c r="M33" s="217"/>
      <c r="O33" s="230" t="s">
        <v>48</v>
      </c>
      <c r="P33" s="230">
        <v>8313.1621427099999</v>
      </c>
      <c r="Q33" s="228"/>
      <c r="R33" s="148" t="s">
        <v>421</v>
      </c>
      <c r="S33" s="242"/>
      <c r="T33" s="247"/>
      <c r="U33" s="247"/>
      <c r="V33" s="247"/>
      <c r="W33" s="247"/>
      <c r="X33" s="247"/>
      <c r="Y33" s="234"/>
      <c r="Z33" s="242" t="s">
        <v>649</v>
      </c>
      <c r="AA33" s="242">
        <v>143270255.745</v>
      </c>
      <c r="AB33" s="242">
        <v>589</v>
      </c>
      <c r="AC33" s="242">
        <v>75</v>
      </c>
      <c r="AD33" s="242">
        <v>5942</v>
      </c>
      <c r="AE33" s="242">
        <v>1</v>
      </c>
      <c r="AF33" s="242"/>
      <c r="AG33" s="242" t="s">
        <v>667</v>
      </c>
      <c r="AH33" s="242">
        <v>0</v>
      </c>
      <c r="AI33" s="242">
        <v>0</v>
      </c>
      <c r="AJ33" s="242">
        <v>0</v>
      </c>
      <c r="AK33" s="242">
        <v>0</v>
      </c>
      <c r="AL33" s="242">
        <v>0</v>
      </c>
      <c r="AM33" s="234"/>
      <c r="AN33" s="242" t="s">
        <v>665</v>
      </c>
      <c r="AO33" s="242">
        <v>0</v>
      </c>
      <c r="AP33" s="242">
        <v>0</v>
      </c>
      <c r="AQ33" s="242">
        <v>0</v>
      </c>
      <c r="AR33" s="242">
        <v>0</v>
      </c>
      <c r="AS33" s="242">
        <v>0</v>
      </c>
      <c r="AT33" s="234"/>
      <c r="AU33" s="242" t="s">
        <v>667</v>
      </c>
      <c r="AV33" s="242">
        <v>0</v>
      </c>
      <c r="AW33" s="242">
        <v>0</v>
      </c>
      <c r="AX33" s="242">
        <v>0</v>
      </c>
      <c r="AY33" s="242">
        <v>0</v>
      </c>
      <c r="AZ33" s="242">
        <v>0</v>
      </c>
      <c r="BA33" s="234"/>
      <c r="BB33" s="242" t="s">
        <v>667</v>
      </c>
      <c r="BC33" s="242">
        <v>0</v>
      </c>
      <c r="BD33" s="242">
        <v>0</v>
      </c>
      <c r="BE33" s="242">
        <v>0</v>
      </c>
      <c r="BF33" s="242">
        <v>0</v>
      </c>
      <c r="BG33" s="242">
        <v>0</v>
      </c>
      <c r="BH33" s="236" t="s">
        <v>667</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175</v>
      </c>
      <c r="CU33" s="264" t="s">
        <v>710</v>
      </c>
      <c r="CV33" s="264">
        <v>24229017344.969997</v>
      </c>
      <c r="CW33" s="264">
        <v>21221267621</v>
      </c>
      <c r="CX33" s="264">
        <v>29367</v>
      </c>
      <c r="CY33" s="264">
        <v>1104694685172.4907</v>
      </c>
      <c r="CZ33" s="264">
        <v>1147632128323</v>
      </c>
      <c r="DA33" s="264">
        <v>14784</v>
      </c>
      <c r="DB33" s="264">
        <v>1080465667827.5204</v>
      </c>
      <c r="DC33" s="264">
        <v>1126410860702</v>
      </c>
      <c r="DD33" s="264">
        <v>14583</v>
      </c>
    </row>
    <row r="34" spans="1:108" x14ac:dyDescent="0.25">
      <c r="B34" s="181" t="s">
        <v>60</v>
      </c>
      <c r="C34" s="184">
        <v>39590</v>
      </c>
      <c r="D34" s="181">
        <v>77308.45</v>
      </c>
      <c r="E34" s="212">
        <v>1</v>
      </c>
      <c r="F34" s="199"/>
      <c r="G34" s="212" t="s">
        <v>532</v>
      </c>
      <c r="H34" s="212">
        <v>75003.023578670007</v>
      </c>
      <c r="I34" s="158"/>
      <c r="J34" s="152"/>
      <c r="K34" s="217"/>
      <c r="L34" s="217"/>
      <c r="M34" s="217"/>
      <c r="O34" s="230" t="s">
        <v>532</v>
      </c>
      <c r="P34" s="230">
        <v>71642.085470160004</v>
      </c>
      <c r="Q34" s="228"/>
      <c r="R34" s="152"/>
      <c r="S34" s="242"/>
      <c r="T34" s="247"/>
      <c r="U34" s="247"/>
      <c r="V34" s="247"/>
      <c r="W34" s="247"/>
      <c r="X34" s="247"/>
      <c r="Y34" s="234"/>
      <c r="Z34" s="242" t="s">
        <v>650</v>
      </c>
      <c r="AA34" s="242">
        <v>0</v>
      </c>
      <c r="AB34" s="242">
        <v>0</v>
      </c>
      <c r="AC34" s="242">
        <v>0</v>
      </c>
      <c r="AD34" s="242">
        <v>0</v>
      </c>
      <c r="AE34" s="242">
        <v>0</v>
      </c>
      <c r="AF34" s="242"/>
      <c r="AG34" s="242" t="s">
        <v>668</v>
      </c>
      <c r="AH34" s="242">
        <v>0</v>
      </c>
      <c r="AI34" s="242">
        <v>0</v>
      </c>
      <c r="AJ34" s="242">
        <v>0</v>
      </c>
      <c r="AK34" s="242">
        <v>0</v>
      </c>
      <c r="AL34" s="242">
        <v>0</v>
      </c>
      <c r="AM34" s="234"/>
      <c r="AN34" s="242" t="s">
        <v>666</v>
      </c>
      <c r="AO34" s="242">
        <v>0</v>
      </c>
      <c r="AP34" s="242">
        <v>0</v>
      </c>
      <c r="AQ34" s="242">
        <v>0</v>
      </c>
      <c r="AR34" s="242">
        <v>0</v>
      </c>
      <c r="AS34" s="242">
        <v>0</v>
      </c>
      <c r="AT34" s="234"/>
      <c r="AU34" s="242" t="s">
        <v>668</v>
      </c>
      <c r="AV34" s="242">
        <v>0</v>
      </c>
      <c r="AW34" s="242">
        <v>0</v>
      </c>
      <c r="AX34" s="242">
        <v>0</v>
      </c>
      <c r="AY34" s="242">
        <v>0</v>
      </c>
      <c r="AZ34" s="242">
        <v>0</v>
      </c>
      <c r="BA34" s="234"/>
      <c r="BB34" s="242" t="s">
        <v>668</v>
      </c>
      <c r="BC34" s="242">
        <v>0</v>
      </c>
      <c r="BD34" s="242">
        <v>0</v>
      </c>
      <c r="BE34" s="242">
        <v>0</v>
      </c>
      <c r="BF34" s="242">
        <v>0</v>
      </c>
      <c r="BG34" s="242">
        <v>0</v>
      </c>
      <c r="BH34" s="236" t="s">
        <v>668</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2020</v>
      </c>
      <c r="CT34" s="264">
        <v>27</v>
      </c>
      <c r="CU34" s="264" t="s">
        <v>711</v>
      </c>
      <c r="CV34" s="264">
        <v>-29372776489.920006</v>
      </c>
      <c r="CW34" s="264">
        <v>-36721753845</v>
      </c>
      <c r="CX34" s="264">
        <v>643</v>
      </c>
      <c r="CY34" s="264">
        <v>28350104676.699993</v>
      </c>
      <c r="CZ34" s="264">
        <v>27682625837</v>
      </c>
      <c r="DA34" s="264">
        <v>154</v>
      </c>
      <c r="DB34" s="264">
        <v>57722881166.62001</v>
      </c>
      <c r="DC34" s="264">
        <v>64404379682</v>
      </c>
      <c r="DD34" s="264">
        <v>489</v>
      </c>
    </row>
    <row r="35" spans="1:108" x14ac:dyDescent="0.25">
      <c r="B35" s="181" t="s">
        <v>264</v>
      </c>
      <c r="C35" s="184">
        <v>42032</v>
      </c>
      <c r="D35" s="181">
        <v>695.5143372</v>
      </c>
      <c r="E35" s="212">
        <v>1</v>
      </c>
      <c r="F35" s="215"/>
      <c r="G35" s="212" t="s">
        <v>533</v>
      </c>
      <c r="H35" s="212">
        <v>71597.259661639997</v>
      </c>
      <c r="I35" s="158"/>
      <c r="J35" s="152"/>
      <c r="K35" s="217"/>
      <c r="L35" s="217"/>
      <c r="M35" s="217"/>
      <c r="O35" s="230" t="s">
        <v>533</v>
      </c>
      <c r="P35" s="230">
        <v>68516.224513180001</v>
      </c>
      <c r="Q35" s="228"/>
      <c r="R35" s="152"/>
      <c r="S35" s="242"/>
      <c r="T35" s="247"/>
      <c r="U35" s="247"/>
      <c r="V35" s="247"/>
      <c r="W35" s="247"/>
      <c r="X35" s="247"/>
      <c r="Y35" s="234"/>
      <c r="Z35" s="242" t="s">
        <v>650</v>
      </c>
      <c r="AA35" s="242">
        <v>0</v>
      </c>
      <c r="AB35" s="242">
        <v>0</v>
      </c>
      <c r="AC35" s="242">
        <v>0</v>
      </c>
      <c r="AD35" s="242">
        <v>0</v>
      </c>
      <c r="AE35" s="242">
        <v>1</v>
      </c>
      <c r="AF35" s="242"/>
      <c r="AG35" s="242" t="s">
        <v>669</v>
      </c>
      <c r="AH35" s="242">
        <v>526334.4</v>
      </c>
      <c r="AI35" s="242">
        <v>10</v>
      </c>
      <c r="AJ35" s="242">
        <v>1</v>
      </c>
      <c r="AK35" s="242">
        <v>1725</v>
      </c>
      <c r="AL35" s="242">
        <v>0</v>
      </c>
      <c r="AM35" s="234"/>
      <c r="AN35" s="242" t="s">
        <v>667</v>
      </c>
      <c r="AO35" s="242">
        <v>0</v>
      </c>
      <c r="AP35" s="242">
        <v>0</v>
      </c>
      <c r="AQ35" s="242">
        <v>0</v>
      </c>
      <c r="AR35" s="242">
        <v>0</v>
      </c>
      <c r="AS35" s="242">
        <v>0</v>
      </c>
      <c r="AT35" s="234"/>
      <c r="AU35" s="242" t="s">
        <v>669</v>
      </c>
      <c r="AV35" s="242">
        <v>137544</v>
      </c>
      <c r="AW35" s="242">
        <v>10</v>
      </c>
      <c r="AX35" s="242">
        <v>5</v>
      </c>
      <c r="AY35" s="242">
        <v>1168</v>
      </c>
      <c r="AZ35" s="242">
        <v>0</v>
      </c>
      <c r="BA35" s="234"/>
      <c r="BB35" s="242" t="s">
        <v>669</v>
      </c>
      <c r="BC35" s="242">
        <v>2262941</v>
      </c>
      <c r="BD35" s="242">
        <v>928</v>
      </c>
      <c r="BE35" s="242">
        <v>33</v>
      </c>
      <c r="BF35" s="242">
        <v>21485</v>
      </c>
      <c r="BG35" s="242">
        <v>0</v>
      </c>
      <c r="BH35" s="236" t="s">
        <v>669</v>
      </c>
      <c r="BI35" s="242">
        <v>10200</v>
      </c>
      <c r="BJ35" s="242">
        <v>101</v>
      </c>
      <c r="BK35" s="242">
        <v>2</v>
      </c>
      <c r="BL35" s="242">
        <v>813</v>
      </c>
      <c r="BM35" s="242">
        <v>0</v>
      </c>
      <c r="BN35" s="242"/>
      <c r="BO35" s="240"/>
      <c r="BP35" s="252">
        <v>992522558.33000004</v>
      </c>
      <c r="BQ35" s="252">
        <v>604424</v>
      </c>
      <c r="BR35" s="252">
        <v>1134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269</v>
      </c>
      <c r="C36" s="184">
        <v>43125</v>
      </c>
      <c r="D36" s="181">
        <v>10936.001684839999</v>
      </c>
      <c r="E36" s="212">
        <v>1</v>
      </c>
      <c r="F36" s="199"/>
      <c r="G36" s="212" t="s">
        <v>255</v>
      </c>
      <c r="H36" s="212">
        <v>4516.1119712099999</v>
      </c>
      <c r="I36" s="158"/>
      <c r="J36" s="152"/>
      <c r="K36" s="217"/>
      <c r="L36" s="217"/>
      <c r="M36" s="217"/>
      <c r="O36" s="230" t="s">
        <v>255</v>
      </c>
      <c r="P36" s="230">
        <v>4297.6585854699997</v>
      </c>
      <c r="Q36" s="228"/>
      <c r="R36" s="152"/>
      <c r="S36" s="242"/>
      <c r="T36" s="247"/>
      <c r="U36" s="247"/>
      <c r="V36" s="247"/>
      <c r="W36" s="247"/>
      <c r="X36" s="247"/>
      <c r="Y36" s="234"/>
      <c r="Z36" s="242" t="s">
        <v>651</v>
      </c>
      <c r="AA36" s="242">
        <v>7629930</v>
      </c>
      <c r="AB36" s="242">
        <v>77</v>
      </c>
      <c r="AC36" s="242">
        <v>1</v>
      </c>
      <c r="AD36" s="242">
        <v>693</v>
      </c>
      <c r="AE36" s="242">
        <v>1</v>
      </c>
      <c r="AF36" s="242"/>
      <c r="AG36" s="242" t="s">
        <v>670</v>
      </c>
      <c r="AH36" s="242">
        <v>3886500</v>
      </c>
      <c r="AI36" s="242">
        <v>306</v>
      </c>
      <c r="AJ36" s="242">
        <v>16</v>
      </c>
      <c r="AK36" s="242">
        <v>11909</v>
      </c>
      <c r="AL36" s="242">
        <v>0</v>
      </c>
      <c r="AM36" s="234"/>
      <c r="AN36" s="242" t="s">
        <v>668</v>
      </c>
      <c r="AO36" s="242">
        <v>0</v>
      </c>
      <c r="AP36" s="242">
        <v>0</v>
      </c>
      <c r="AQ36" s="242">
        <v>0</v>
      </c>
      <c r="AR36" s="242">
        <v>0</v>
      </c>
      <c r="AS36" s="242">
        <v>0</v>
      </c>
      <c r="AT36" s="234"/>
      <c r="AU36" s="242" t="s">
        <v>670</v>
      </c>
      <c r="AV36" s="242">
        <v>526298.19999999995</v>
      </c>
      <c r="AW36" s="242">
        <v>31</v>
      </c>
      <c r="AX36" s="242">
        <v>9</v>
      </c>
      <c r="AY36" s="242">
        <v>9661</v>
      </c>
      <c r="AZ36" s="242">
        <v>0</v>
      </c>
      <c r="BA36" s="234"/>
      <c r="BB36" s="242" t="s">
        <v>670</v>
      </c>
      <c r="BC36" s="242">
        <v>89102284.569999993</v>
      </c>
      <c r="BD36" s="242">
        <v>7593</v>
      </c>
      <c r="BE36" s="242">
        <v>634</v>
      </c>
      <c r="BF36" s="242">
        <v>474125</v>
      </c>
      <c r="BG36" s="242">
        <v>0</v>
      </c>
      <c r="BH36" s="236" t="s">
        <v>670</v>
      </c>
      <c r="BI36" s="242">
        <v>7047553.7000000002</v>
      </c>
      <c r="BJ36" s="242">
        <v>560</v>
      </c>
      <c r="BK36" s="242">
        <v>39</v>
      </c>
      <c r="BL36" s="242">
        <v>24348</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272</v>
      </c>
      <c r="C37" s="184">
        <v>39381</v>
      </c>
      <c r="D37" s="181">
        <v>70277.3</v>
      </c>
      <c r="E37" s="212">
        <v>1</v>
      </c>
      <c r="F37" s="203"/>
      <c r="G37" s="212" t="s">
        <v>60</v>
      </c>
      <c r="H37" s="212">
        <v>70973.244385889993</v>
      </c>
      <c r="I37" s="158"/>
      <c r="J37" s="152"/>
      <c r="K37" s="217"/>
      <c r="L37" s="217"/>
      <c r="M37" s="217"/>
      <c r="O37" s="230" t="s">
        <v>60</v>
      </c>
      <c r="P37" s="230">
        <v>67251.210166119999</v>
      </c>
      <c r="Q37" s="228"/>
      <c r="R37" s="152"/>
      <c r="S37" s="242"/>
      <c r="T37" s="247"/>
      <c r="U37" s="247"/>
      <c r="V37" s="247"/>
      <c r="W37" s="247"/>
      <c r="X37" s="247"/>
      <c r="Y37" s="234"/>
      <c r="Z37" s="242" t="s">
        <v>652</v>
      </c>
      <c r="AA37" s="242">
        <v>31725000</v>
      </c>
      <c r="AB37" s="242">
        <v>250</v>
      </c>
      <c r="AC37" s="242">
        <v>6</v>
      </c>
      <c r="AD37" s="242">
        <v>3672</v>
      </c>
      <c r="AE37" s="242">
        <v>1</v>
      </c>
      <c r="AF37" s="242"/>
      <c r="AG37" s="242" t="s">
        <v>672</v>
      </c>
      <c r="AH37" s="242">
        <v>492536</v>
      </c>
      <c r="AI37" s="242">
        <v>55</v>
      </c>
      <c r="AJ37" s="242">
        <v>19</v>
      </c>
      <c r="AK37" s="242">
        <v>10422</v>
      </c>
      <c r="AL37" s="242">
        <v>0</v>
      </c>
      <c r="AM37" s="234"/>
      <c r="AN37" s="242" t="s">
        <v>669</v>
      </c>
      <c r="AO37" s="242">
        <v>11401613</v>
      </c>
      <c r="AP37" s="242">
        <v>1453</v>
      </c>
      <c r="AQ37" s="242">
        <v>151</v>
      </c>
      <c r="AR37" s="242">
        <v>46459</v>
      </c>
      <c r="AS37" s="242">
        <v>0</v>
      </c>
      <c r="AT37" s="234"/>
      <c r="AU37" s="242" t="s">
        <v>672</v>
      </c>
      <c r="AV37" s="242">
        <v>450862</v>
      </c>
      <c r="AW37" s="242">
        <v>30</v>
      </c>
      <c r="AX37" s="242">
        <v>7</v>
      </c>
      <c r="AY37" s="242">
        <v>8822</v>
      </c>
      <c r="AZ37" s="242">
        <v>0</v>
      </c>
      <c r="BA37" s="234"/>
      <c r="BB37" s="242" t="s">
        <v>671</v>
      </c>
      <c r="BC37" s="242">
        <v>0</v>
      </c>
      <c r="BD37" s="242">
        <v>0</v>
      </c>
      <c r="BE37" s="242">
        <v>0</v>
      </c>
      <c r="BF37" s="242">
        <v>0</v>
      </c>
      <c r="BG37" s="242">
        <v>0</v>
      </c>
      <c r="BH37" s="236" t="s">
        <v>671</v>
      </c>
      <c r="BI37" s="242">
        <v>0</v>
      </c>
      <c r="BJ37" s="242">
        <v>0</v>
      </c>
      <c r="BK37" s="242">
        <v>0</v>
      </c>
      <c r="BL37" s="242">
        <v>0</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50</v>
      </c>
      <c r="C38" s="184">
        <v>44560</v>
      </c>
      <c r="D38" s="181">
        <v>36896.860627169997</v>
      </c>
      <c r="E38" s="212">
        <v>1</v>
      </c>
      <c r="F38" s="203"/>
      <c r="G38" s="212" t="s">
        <v>64</v>
      </c>
      <c r="H38" s="212">
        <v>95457.109409390003</v>
      </c>
      <c r="I38" s="158"/>
      <c r="J38" s="152"/>
      <c r="K38" s="217"/>
      <c r="L38" s="217"/>
      <c r="M38" s="217"/>
      <c r="O38" s="230" t="s">
        <v>64</v>
      </c>
      <c r="P38" s="230">
        <v>93123.171694069999</v>
      </c>
      <c r="Q38" s="228"/>
      <c r="R38" s="152"/>
      <c r="S38" s="242"/>
      <c r="T38" s="247"/>
      <c r="U38" s="247"/>
      <c r="V38" s="247"/>
      <c r="W38" s="247"/>
      <c r="X38" s="247"/>
      <c r="Y38" s="234"/>
      <c r="Z38" s="242" t="s">
        <v>653</v>
      </c>
      <c r="AA38" s="242">
        <v>0</v>
      </c>
      <c r="AB38" s="242">
        <v>0</v>
      </c>
      <c r="AC38" s="242">
        <v>0</v>
      </c>
      <c r="AD38" s="242">
        <v>0</v>
      </c>
      <c r="AE38" s="242">
        <v>0</v>
      </c>
      <c r="AF38" s="242"/>
      <c r="AG38" s="242" t="s">
        <v>634</v>
      </c>
      <c r="AH38" s="242">
        <v>89181092.480000004</v>
      </c>
      <c r="AI38" s="242">
        <v>290</v>
      </c>
      <c r="AJ38" s="242">
        <v>36</v>
      </c>
      <c r="AK38" s="242">
        <v>24796</v>
      </c>
      <c r="AL38" s="242">
        <v>1</v>
      </c>
      <c r="AM38" s="234"/>
      <c r="AN38" s="242" t="s">
        <v>670</v>
      </c>
      <c r="AO38" s="242">
        <v>58650432.530000001</v>
      </c>
      <c r="AP38" s="242">
        <v>6280</v>
      </c>
      <c r="AQ38" s="242">
        <v>846</v>
      </c>
      <c r="AR38" s="242">
        <v>393933</v>
      </c>
      <c r="AS38" s="242">
        <v>0</v>
      </c>
      <c r="AT38" s="234"/>
      <c r="AU38" s="242" t="s">
        <v>634</v>
      </c>
      <c r="AV38" s="242">
        <v>1403486193.3800001</v>
      </c>
      <c r="AW38" s="242">
        <v>4533</v>
      </c>
      <c r="AX38" s="242">
        <v>252</v>
      </c>
      <c r="AY38" s="242">
        <v>23613</v>
      </c>
      <c r="AZ38" s="242">
        <v>1</v>
      </c>
      <c r="BA38" s="234"/>
      <c r="BB38" s="242" t="s">
        <v>672</v>
      </c>
      <c r="BC38" s="242">
        <v>27145338.120000001</v>
      </c>
      <c r="BD38" s="242">
        <v>2510</v>
      </c>
      <c r="BE38" s="242">
        <v>180</v>
      </c>
      <c r="BF38" s="242">
        <v>354912</v>
      </c>
      <c r="BG38" s="242">
        <v>0</v>
      </c>
      <c r="BH38" s="236" t="s">
        <v>672</v>
      </c>
      <c r="BI38" s="242">
        <v>1116156.5</v>
      </c>
      <c r="BJ38" s="242">
        <v>138</v>
      </c>
      <c r="BK38" s="242">
        <v>16</v>
      </c>
      <c r="BL38" s="242">
        <v>17224</v>
      </c>
      <c r="BM38" s="242">
        <v>0</v>
      </c>
      <c r="BN38" s="242"/>
      <c r="BO38" s="236"/>
      <c r="BP38" s="252">
        <v>1264935362336.6699</v>
      </c>
      <c r="BQ38" s="252">
        <v>12515509</v>
      </c>
      <c r="BR38" s="252">
        <v>14968</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96</v>
      </c>
      <c r="C39" s="184">
        <v>44560</v>
      </c>
      <c r="D39" s="181">
        <v>431.53309997000002</v>
      </c>
      <c r="E39" s="212">
        <v>1</v>
      </c>
      <c r="F39" s="203"/>
      <c r="G39" s="212" t="s">
        <v>66</v>
      </c>
      <c r="H39" s="212">
        <v>14799.07681411</v>
      </c>
      <c r="I39" s="158"/>
      <c r="J39" s="152"/>
      <c r="K39" s="217"/>
      <c r="L39" s="217"/>
      <c r="M39" s="217"/>
      <c r="O39" s="230" t="s">
        <v>66</v>
      </c>
      <c r="P39" s="230">
        <v>13591.20469239</v>
      </c>
      <c r="Q39" s="228"/>
      <c r="R39" s="152"/>
      <c r="S39" s="242"/>
      <c r="T39" s="247"/>
      <c r="U39" s="247"/>
      <c r="V39" s="247"/>
      <c r="W39" s="247"/>
      <c r="X39" s="247"/>
      <c r="Y39" s="234"/>
      <c r="Z39" s="242" t="s">
        <v>653</v>
      </c>
      <c r="AA39" s="242">
        <v>2814950</v>
      </c>
      <c r="AB39" s="242">
        <v>75</v>
      </c>
      <c r="AC39" s="242">
        <v>18</v>
      </c>
      <c r="AD39" s="242">
        <v>577</v>
      </c>
      <c r="AE39" s="242">
        <v>1</v>
      </c>
      <c r="AF39" s="242"/>
      <c r="AG39" s="242" t="s">
        <v>635</v>
      </c>
      <c r="AH39" s="242">
        <v>0</v>
      </c>
      <c r="AI39" s="242">
        <v>0</v>
      </c>
      <c r="AJ39" s="242">
        <v>0</v>
      </c>
      <c r="AK39" s="242">
        <v>3</v>
      </c>
      <c r="AL39" s="242">
        <v>1</v>
      </c>
      <c r="AM39" s="234"/>
      <c r="AN39" s="242" t="s">
        <v>671</v>
      </c>
      <c r="AO39" s="242">
        <v>0</v>
      </c>
      <c r="AP39" s="242">
        <v>0</v>
      </c>
      <c r="AQ39" s="242">
        <v>0</v>
      </c>
      <c r="AR39" s="242">
        <v>0</v>
      </c>
      <c r="AS39" s="242">
        <v>0</v>
      </c>
      <c r="AT39" s="234"/>
      <c r="AU39" s="242" t="s">
        <v>635</v>
      </c>
      <c r="AV39" s="242">
        <v>4156151.76</v>
      </c>
      <c r="AW39" s="242">
        <v>36</v>
      </c>
      <c r="AX39" s="242">
        <v>1</v>
      </c>
      <c r="AY39" s="242">
        <v>3</v>
      </c>
      <c r="AZ39" s="242">
        <v>1</v>
      </c>
      <c r="BA39" s="234"/>
      <c r="BB39" s="242" t="s">
        <v>673</v>
      </c>
      <c r="BC39" s="242">
        <v>0</v>
      </c>
      <c r="BD39" s="242">
        <v>0</v>
      </c>
      <c r="BE39" s="242">
        <v>0</v>
      </c>
      <c r="BF39" s="242">
        <v>0</v>
      </c>
      <c r="BG39" s="242">
        <v>0</v>
      </c>
      <c r="BH39" s="236" t="s">
        <v>673</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538</v>
      </c>
      <c r="C40" s="184">
        <v>42305</v>
      </c>
      <c r="D40" s="181">
        <v>18548.60542</v>
      </c>
      <c r="E40" s="212">
        <v>1</v>
      </c>
      <c r="F40" s="203"/>
      <c r="G40" s="212" t="s">
        <v>68</v>
      </c>
      <c r="H40" s="212">
        <v>92736.874547159998</v>
      </c>
      <c r="I40" s="158"/>
      <c r="J40" s="152"/>
      <c r="K40" s="217"/>
      <c r="L40" s="217"/>
      <c r="M40" s="217"/>
      <c r="O40" s="230" t="s">
        <v>68</v>
      </c>
      <c r="P40" s="230">
        <v>89014.914157480001</v>
      </c>
      <c r="Q40" s="228"/>
      <c r="R40" s="152"/>
      <c r="S40" s="242"/>
      <c r="T40" s="247"/>
      <c r="U40" s="247"/>
      <c r="V40" s="247"/>
      <c r="W40" s="247"/>
      <c r="X40" s="247"/>
      <c r="Y40" s="234"/>
      <c r="Z40" s="242" t="s">
        <v>654</v>
      </c>
      <c r="AA40" s="242">
        <v>0</v>
      </c>
      <c r="AB40" s="242">
        <v>0</v>
      </c>
      <c r="AC40" s="242">
        <v>0</v>
      </c>
      <c r="AD40" s="242">
        <v>0</v>
      </c>
      <c r="AE40" s="242">
        <v>0</v>
      </c>
      <c r="AF40" s="242"/>
      <c r="AG40" s="242" t="s">
        <v>636</v>
      </c>
      <c r="AH40" s="242">
        <v>780500</v>
      </c>
      <c r="AI40" s="242">
        <v>10</v>
      </c>
      <c r="AJ40" s="242">
        <v>1</v>
      </c>
      <c r="AK40" s="242">
        <v>1693</v>
      </c>
      <c r="AL40" s="242">
        <v>1</v>
      </c>
      <c r="AM40" s="234"/>
      <c r="AN40" s="242" t="s">
        <v>672</v>
      </c>
      <c r="AO40" s="242">
        <v>52289325.729999997</v>
      </c>
      <c r="AP40" s="242">
        <v>4372</v>
      </c>
      <c r="AQ40" s="242">
        <v>430</v>
      </c>
      <c r="AR40" s="242">
        <v>357685</v>
      </c>
      <c r="AS40" s="242">
        <v>0</v>
      </c>
      <c r="AT40" s="234"/>
      <c r="AU40" s="242" t="s">
        <v>636</v>
      </c>
      <c r="AV40" s="242">
        <v>6559460</v>
      </c>
      <c r="AW40" s="242">
        <v>93</v>
      </c>
      <c r="AX40" s="242">
        <v>10</v>
      </c>
      <c r="AY40" s="242">
        <v>1373</v>
      </c>
      <c r="AZ40" s="242">
        <v>1</v>
      </c>
      <c r="BA40" s="234"/>
      <c r="BB40" s="242" t="s">
        <v>634</v>
      </c>
      <c r="BC40" s="242">
        <v>12884667578.98</v>
      </c>
      <c r="BD40" s="242">
        <v>53308</v>
      </c>
      <c r="BE40" s="242">
        <v>5543</v>
      </c>
      <c r="BF40" s="242">
        <v>406004</v>
      </c>
      <c r="BG40" s="242">
        <v>1</v>
      </c>
      <c r="BH40" s="236" t="s">
        <v>634</v>
      </c>
      <c r="BI40" s="242">
        <v>94456330.504999995</v>
      </c>
      <c r="BJ40" s="242">
        <v>380</v>
      </c>
      <c r="BK40" s="242">
        <v>62</v>
      </c>
      <c r="BL40" s="242">
        <v>20130</v>
      </c>
      <c r="BM40" s="242">
        <v>1</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302</v>
      </c>
      <c r="C41" s="184">
        <v>42334</v>
      </c>
      <c r="D41" s="181">
        <v>5012.4318484900004</v>
      </c>
      <c r="E41" s="212">
        <v>1</v>
      </c>
      <c r="F41" s="203"/>
      <c r="G41" s="212" t="s">
        <v>105</v>
      </c>
      <c r="H41" s="212">
        <v>1312.18012456</v>
      </c>
      <c r="I41" s="158"/>
      <c r="J41" s="152"/>
      <c r="K41" s="217"/>
      <c r="L41" s="217"/>
      <c r="M41" s="217"/>
      <c r="O41" s="230" t="s">
        <v>105</v>
      </c>
      <c r="P41" s="230">
        <v>1263.04014512</v>
      </c>
      <c r="Q41" s="228"/>
      <c r="R41" s="152"/>
      <c r="S41" s="242"/>
      <c r="T41" s="247"/>
      <c r="U41" s="247"/>
      <c r="V41" s="247"/>
      <c r="W41" s="247"/>
      <c r="X41" s="247"/>
      <c r="Y41" s="234"/>
      <c r="Z41" s="242" t="s">
        <v>654</v>
      </c>
      <c r="AA41" s="242">
        <v>4102800</v>
      </c>
      <c r="AB41" s="242">
        <v>14</v>
      </c>
      <c r="AC41" s="242">
        <v>4</v>
      </c>
      <c r="AD41" s="242">
        <v>144</v>
      </c>
      <c r="AE41" s="242">
        <v>1</v>
      </c>
      <c r="AF41" s="242"/>
      <c r="AG41" s="242" t="s">
        <v>637</v>
      </c>
      <c r="AH41" s="242">
        <v>0</v>
      </c>
      <c r="AI41" s="242">
        <v>0</v>
      </c>
      <c r="AJ41" s="242">
        <v>0</v>
      </c>
      <c r="AK41" s="242">
        <v>20</v>
      </c>
      <c r="AL41" s="242">
        <v>1</v>
      </c>
      <c r="AM41" s="234"/>
      <c r="AN41" s="242" t="s">
        <v>673</v>
      </c>
      <c r="AO41" s="242">
        <v>0</v>
      </c>
      <c r="AP41" s="242">
        <v>0</v>
      </c>
      <c r="AQ41" s="242">
        <v>0</v>
      </c>
      <c r="AR41" s="242">
        <v>0</v>
      </c>
      <c r="AS41" s="242">
        <v>0</v>
      </c>
      <c r="AT41" s="234"/>
      <c r="AU41" s="242" t="s">
        <v>637</v>
      </c>
      <c r="AV41" s="242">
        <v>0</v>
      </c>
      <c r="AW41" s="242">
        <v>0</v>
      </c>
      <c r="AX41" s="242">
        <v>0</v>
      </c>
      <c r="AY41" s="242">
        <v>20</v>
      </c>
      <c r="AZ41" s="242">
        <v>1</v>
      </c>
      <c r="BA41" s="234"/>
      <c r="BB41" s="242" t="s">
        <v>635</v>
      </c>
      <c r="BC41" s="242">
        <v>6108620</v>
      </c>
      <c r="BD41" s="242">
        <v>82</v>
      </c>
      <c r="BE41" s="242">
        <v>17</v>
      </c>
      <c r="BF41" s="242">
        <v>493</v>
      </c>
      <c r="BG41" s="242">
        <v>1</v>
      </c>
      <c r="BH41" s="236" t="s">
        <v>635</v>
      </c>
      <c r="BI41" s="242">
        <v>0</v>
      </c>
      <c r="BJ41" s="242">
        <v>0</v>
      </c>
      <c r="BK41" s="242">
        <v>0</v>
      </c>
      <c r="BL41" s="242">
        <v>12</v>
      </c>
      <c r="BM41" s="242">
        <v>1</v>
      </c>
      <c r="BN41" s="242"/>
      <c r="BO41" s="234"/>
      <c r="BP41" s="252">
        <v>1573788608.6900001</v>
      </c>
      <c r="BQ41" s="252">
        <v>803665</v>
      </c>
      <c r="BR41" s="252">
        <v>1774</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307</v>
      </c>
      <c r="C42" s="184">
        <v>44561</v>
      </c>
      <c r="D42" s="181">
        <v>160.65808862</v>
      </c>
      <c r="E42" s="212">
        <v>1</v>
      </c>
      <c r="F42" s="203"/>
      <c r="G42" s="212" t="s">
        <v>256</v>
      </c>
      <c r="H42" s="212">
        <v>891.32731537999996</v>
      </c>
      <c r="I42" s="158"/>
      <c r="J42" s="152"/>
      <c r="K42" s="217"/>
      <c r="L42" s="217"/>
      <c r="M42" s="217"/>
      <c r="O42" s="230" t="s">
        <v>256</v>
      </c>
      <c r="P42" s="230">
        <v>830.17612537000002</v>
      </c>
      <c r="Q42" s="228"/>
      <c r="R42" s="152"/>
      <c r="S42" s="242"/>
      <c r="T42" s="247"/>
      <c r="U42" s="247"/>
      <c r="V42" s="247"/>
      <c r="W42" s="247"/>
      <c r="X42" s="247"/>
      <c r="Y42" s="234"/>
      <c r="Z42" s="242" t="s">
        <v>655</v>
      </c>
      <c r="AA42" s="242">
        <v>0</v>
      </c>
      <c r="AB42" s="242">
        <v>0</v>
      </c>
      <c r="AC42" s="242">
        <v>0</v>
      </c>
      <c r="AD42" s="242">
        <v>0</v>
      </c>
      <c r="AE42" s="242">
        <v>0</v>
      </c>
      <c r="AF42" s="242"/>
      <c r="AG42" s="242" t="s">
        <v>638</v>
      </c>
      <c r="AH42" s="242">
        <v>0</v>
      </c>
      <c r="AI42" s="242">
        <v>0</v>
      </c>
      <c r="AJ42" s="242">
        <v>0</v>
      </c>
      <c r="AK42" s="242">
        <v>3</v>
      </c>
      <c r="AL42" s="242">
        <v>1</v>
      </c>
      <c r="AM42" s="234"/>
      <c r="AN42" s="242" t="s">
        <v>634</v>
      </c>
      <c r="AO42" s="242">
        <v>25204554702.52</v>
      </c>
      <c r="AP42" s="242">
        <v>83005</v>
      </c>
      <c r="AQ42" s="242">
        <v>5854</v>
      </c>
      <c r="AR42" s="242">
        <v>398447</v>
      </c>
      <c r="AS42" s="242">
        <v>1</v>
      </c>
      <c r="AT42" s="234"/>
      <c r="AU42" s="242" t="s">
        <v>638</v>
      </c>
      <c r="AV42" s="242">
        <v>0</v>
      </c>
      <c r="AW42" s="242">
        <v>0</v>
      </c>
      <c r="AX42" s="242">
        <v>0</v>
      </c>
      <c r="AY42" s="242">
        <v>0</v>
      </c>
      <c r="AZ42" s="242">
        <v>1</v>
      </c>
      <c r="BA42" s="234"/>
      <c r="BB42" s="242" t="s">
        <v>636</v>
      </c>
      <c r="BC42" s="242">
        <v>5208410</v>
      </c>
      <c r="BD42" s="242">
        <v>104</v>
      </c>
      <c r="BE42" s="242">
        <v>27</v>
      </c>
      <c r="BF42" s="242">
        <v>39723</v>
      </c>
      <c r="BG42" s="242">
        <v>1</v>
      </c>
      <c r="BH42" s="236" t="s">
        <v>636</v>
      </c>
      <c r="BI42" s="242">
        <v>0</v>
      </c>
      <c r="BJ42" s="242">
        <v>0</v>
      </c>
      <c r="BK42" s="242">
        <v>0</v>
      </c>
      <c r="BL42" s="242">
        <v>1890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520</v>
      </c>
      <c r="C43" s="184">
        <v>44560</v>
      </c>
      <c r="D43" s="181">
        <v>7730.3560331999997</v>
      </c>
      <c r="E43" s="212">
        <v>1</v>
      </c>
      <c r="F43" s="203"/>
      <c r="G43" s="212" t="s">
        <v>262</v>
      </c>
      <c r="H43" s="212">
        <v>9080.7847223900008</v>
      </c>
      <c r="I43" s="158"/>
      <c r="J43" s="152"/>
      <c r="K43" s="217"/>
      <c r="L43" s="217"/>
      <c r="M43" s="217"/>
      <c r="O43" s="230" t="s">
        <v>262</v>
      </c>
      <c r="P43" s="230">
        <v>8714.0752094599993</v>
      </c>
      <c r="Q43" s="228"/>
      <c r="S43" s="234"/>
      <c r="T43" s="234"/>
      <c r="U43" s="234"/>
      <c r="V43" s="234"/>
      <c r="W43" s="234"/>
      <c r="X43" s="234"/>
      <c r="Y43" s="234"/>
      <c r="Z43" s="242" t="s">
        <v>655</v>
      </c>
      <c r="AA43" s="242">
        <v>1868045</v>
      </c>
      <c r="AB43" s="242">
        <v>11</v>
      </c>
      <c r="AC43" s="242">
        <v>7</v>
      </c>
      <c r="AD43" s="242">
        <v>8</v>
      </c>
      <c r="AE43" s="242">
        <v>1</v>
      </c>
      <c r="AF43" s="242"/>
      <c r="AG43" s="242" t="s">
        <v>639</v>
      </c>
      <c r="AH43" s="242">
        <v>0</v>
      </c>
      <c r="AI43" s="242">
        <v>0</v>
      </c>
      <c r="AJ43" s="242">
        <v>0</v>
      </c>
      <c r="AK43" s="242">
        <v>50</v>
      </c>
      <c r="AL43" s="242">
        <v>1</v>
      </c>
      <c r="AM43" s="234"/>
      <c r="AN43" s="242" t="s">
        <v>635</v>
      </c>
      <c r="AO43" s="242">
        <v>8645487.4600000009</v>
      </c>
      <c r="AP43" s="242">
        <v>72</v>
      </c>
      <c r="AQ43" s="242">
        <v>4</v>
      </c>
      <c r="AR43" s="242">
        <v>1178</v>
      </c>
      <c r="AS43" s="242">
        <v>1</v>
      </c>
      <c r="AT43" s="234"/>
      <c r="AU43" s="242" t="s">
        <v>639</v>
      </c>
      <c r="AV43" s="242">
        <v>0</v>
      </c>
      <c r="AW43" s="242">
        <v>0</v>
      </c>
      <c r="AX43" s="242">
        <v>0</v>
      </c>
      <c r="AY43" s="242">
        <v>64</v>
      </c>
      <c r="AZ43" s="242">
        <v>1</v>
      </c>
      <c r="BA43" s="234"/>
      <c r="BB43" s="242" t="s">
        <v>637</v>
      </c>
      <c r="BC43" s="242">
        <v>53380</v>
      </c>
      <c r="BD43" s="242">
        <v>2</v>
      </c>
      <c r="BE43" s="242">
        <v>2</v>
      </c>
      <c r="BF43" s="242">
        <v>1</v>
      </c>
      <c r="BG43" s="242">
        <v>1</v>
      </c>
      <c r="BH43" s="236" t="s">
        <v>637</v>
      </c>
      <c r="BI43" s="242">
        <v>0</v>
      </c>
      <c r="BJ43" s="242">
        <v>0</v>
      </c>
      <c r="BK43" s="242">
        <v>0</v>
      </c>
      <c r="BL43" s="242">
        <v>0</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517</v>
      </c>
      <c r="C44" s="184">
        <v>44560</v>
      </c>
      <c r="D44" s="181">
        <v>76427.890659149998</v>
      </c>
      <c r="E44" s="212">
        <v>1</v>
      </c>
      <c r="F44" s="198"/>
      <c r="G44" s="212" t="s">
        <v>263</v>
      </c>
      <c r="H44" s="212">
        <v>954.41329862999999</v>
      </c>
      <c r="I44" s="158"/>
      <c r="J44" s="152"/>
      <c r="K44" s="217"/>
      <c r="L44" s="217"/>
      <c r="M44" s="217"/>
      <c r="O44" s="230" t="s">
        <v>263</v>
      </c>
      <c r="P44" s="230">
        <v>901.03674081999998</v>
      </c>
      <c r="Q44" s="228"/>
      <c r="S44" s="234"/>
      <c r="T44" s="234"/>
      <c r="U44" s="234"/>
      <c r="V44" s="234"/>
      <c r="W44" s="234"/>
      <c r="X44" s="234"/>
      <c r="Y44" s="234"/>
      <c r="Z44" s="242" t="s">
        <v>656</v>
      </c>
      <c r="AA44" s="242">
        <v>0</v>
      </c>
      <c r="AB44" s="242">
        <v>0</v>
      </c>
      <c r="AC44" s="242">
        <v>0</v>
      </c>
      <c r="AD44" s="242">
        <v>0</v>
      </c>
      <c r="AE44" s="242">
        <v>0</v>
      </c>
      <c r="AF44" s="242"/>
      <c r="AG44" s="242" t="s">
        <v>640</v>
      </c>
      <c r="AH44" s="242">
        <v>0</v>
      </c>
      <c r="AI44" s="242">
        <v>0</v>
      </c>
      <c r="AJ44" s="242">
        <v>0</v>
      </c>
      <c r="AK44" s="242">
        <v>43</v>
      </c>
      <c r="AL44" s="242">
        <v>1</v>
      </c>
      <c r="AM44" s="234"/>
      <c r="AN44" s="242" t="s">
        <v>636</v>
      </c>
      <c r="AO44" s="242">
        <v>205350745.59999999</v>
      </c>
      <c r="AP44" s="242">
        <v>2571</v>
      </c>
      <c r="AQ44" s="242">
        <v>58</v>
      </c>
      <c r="AR44" s="242">
        <v>17802</v>
      </c>
      <c r="AS44" s="242">
        <v>1</v>
      </c>
      <c r="AT44" s="234"/>
      <c r="AU44" s="242" t="s">
        <v>640</v>
      </c>
      <c r="AV44" s="242">
        <v>0</v>
      </c>
      <c r="AW44" s="242">
        <v>0</v>
      </c>
      <c r="AX44" s="242">
        <v>0</v>
      </c>
      <c r="AY44" s="242">
        <v>3</v>
      </c>
      <c r="AZ44" s="242">
        <v>1</v>
      </c>
      <c r="BA44" s="234"/>
      <c r="BB44" s="242" t="s">
        <v>638</v>
      </c>
      <c r="BC44" s="242">
        <v>277500</v>
      </c>
      <c r="BD44" s="242">
        <v>6</v>
      </c>
      <c r="BE44" s="242">
        <v>2</v>
      </c>
      <c r="BF44" s="242">
        <v>640</v>
      </c>
      <c r="BG44" s="242">
        <v>1</v>
      </c>
      <c r="BH44" s="236" t="s">
        <v>638</v>
      </c>
      <c r="BI44" s="242">
        <v>0</v>
      </c>
      <c r="BJ44" s="242">
        <v>0</v>
      </c>
      <c r="BK44" s="242">
        <v>0</v>
      </c>
      <c r="BL44" s="242">
        <v>30</v>
      </c>
      <c r="BM44" s="242">
        <v>1</v>
      </c>
      <c r="BN44" s="242"/>
      <c r="BO44" s="236"/>
      <c r="BP44" s="252">
        <v>969112</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310</v>
      </c>
      <c r="C45" s="184">
        <v>44560</v>
      </c>
      <c r="D45" s="181">
        <v>67129.52584894</v>
      </c>
      <c r="E45" s="212">
        <v>1</v>
      </c>
      <c r="F45" s="199"/>
      <c r="G45" s="212" t="s">
        <v>90</v>
      </c>
      <c r="H45" s="212">
        <v>342.98573773999999</v>
      </c>
      <c r="I45" s="158"/>
      <c r="J45" s="152"/>
      <c r="K45" s="217"/>
      <c r="L45" s="217"/>
      <c r="M45" s="217"/>
      <c r="O45" s="230" t="s">
        <v>90</v>
      </c>
      <c r="P45" s="230">
        <v>323.43762247000001</v>
      </c>
      <c r="Q45" s="228"/>
      <c r="S45" s="243"/>
      <c r="T45" s="246"/>
      <c r="U45" s="246"/>
      <c r="V45" s="246"/>
      <c r="W45" s="246"/>
      <c r="X45" s="246"/>
      <c r="Y45" s="234"/>
      <c r="Z45" s="242" t="s">
        <v>656</v>
      </c>
      <c r="AA45" s="242">
        <v>8006820.5080000004</v>
      </c>
      <c r="AB45" s="242">
        <v>53</v>
      </c>
      <c r="AC45" s="242">
        <v>6</v>
      </c>
      <c r="AD45" s="242">
        <v>2215</v>
      </c>
      <c r="AE45" s="242">
        <v>1</v>
      </c>
      <c r="AF45" s="242"/>
      <c r="AG45" s="242" t="s">
        <v>641</v>
      </c>
      <c r="AH45" s="242">
        <v>179046238.63</v>
      </c>
      <c r="AI45" s="242">
        <v>475</v>
      </c>
      <c r="AJ45" s="242">
        <v>31</v>
      </c>
      <c r="AK45" s="242">
        <v>16291</v>
      </c>
      <c r="AL45" s="242">
        <v>1</v>
      </c>
      <c r="AM45" s="234"/>
      <c r="AN45" s="242" t="s">
        <v>637</v>
      </c>
      <c r="AO45" s="242">
        <v>877350</v>
      </c>
      <c r="AP45" s="242">
        <v>35</v>
      </c>
      <c r="AQ45" s="242">
        <v>2</v>
      </c>
      <c r="AR45" s="242">
        <v>365</v>
      </c>
      <c r="AS45" s="242">
        <v>1</v>
      </c>
      <c r="AT45" s="234"/>
      <c r="AU45" s="242" t="s">
        <v>641</v>
      </c>
      <c r="AV45" s="242">
        <v>193138235.97999999</v>
      </c>
      <c r="AW45" s="242">
        <v>520</v>
      </c>
      <c r="AX45" s="242">
        <v>57</v>
      </c>
      <c r="AY45" s="242">
        <v>21762</v>
      </c>
      <c r="AZ45" s="242">
        <v>1</v>
      </c>
      <c r="BA45" s="234"/>
      <c r="BB45" s="242" t="s">
        <v>639</v>
      </c>
      <c r="BC45" s="242">
        <v>3451000</v>
      </c>
      <c r="BD45" s="242">
        <v>26</v>
      </c>
      <c r="BE45" s="242">
        <v>5</v>
      </c>
      <c r="BF45" s="242">
        <v>2004</v>
      </c>
      <c r="BG45" s="242">
        <v>1</v>
      </c>
      <c r="BH45" s="236" t="s">
        <v>639</v>
      </c>
      <c r="BI45" s="242">
        <v>0</v>
      </c>
      <c r="BJ45" s="242">
        <v>0</v>
      </c>
      <c r="BK45" s="242">
        <v>0</v>
      </c>
      <c r="BL45" s="242">
        <v>90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319</v>
      </c>
      <c r="C46" s="184">
        <v>43347</v>
      </c>
      <c r="D46" s="181">
        <v>11098.43</v>
      </c>
      <c r="E46" s="212">
        <v>1</v>
      </c>
      <c r="F46" s="205"/>
      <c r="G46" s="212" t="s">
        <v>92</v>
      </c>
      <c r="H46" s="212">
        <v>254.08877104999999</v>
      </c>
      <c r="I46" s="158"/>
      <c r="J46" s="152"/>
      <c r="K46" s="217"/>
      <c r="L46" s="217"/>
      <c r="M46" s="217"/>
      <c r="O46" s="230" t="s">
        <v>92</v>
      </c>
      <c r="P46" s="230">
        <v>241.04257608</v>
      </c>
      <c r="Q46" s="228"/>
      <c r="S46" s="242"/>
      <c r="T46" s="247"/>
      <c r="U46" s="247"/>
      <c r="V46" s="247"/>
      <c r="W46" s="247"/>
      <c r="X46" s="247"/>
      <c r="Y46" s="234"/>
      <c r="Z46" s="242" t="s">
        <v>657</v>
      </c>
      <c r="AA46" s="242">
        <v>0</v>
      </c>
      <c r="AB46" s="242">
        <v>0</v>
      </c>
      <c r="AC46" s="242">
        <v>0</v>
      </c>
      <c r="AD46" s="242">
        <v>0</v>
      </c>
      <c r="AE46" s="242">
        <v>0</v>
      </c>
      <c r="AF46" s="242"/>
      <c r="AG46" s="242" t="s">
        <v>642</v>
      </c>
      <c r="AH46" s="242">
        <v>0</v>
      </c>
      <c r="AI46" s="242">
        <v>0</v>
      </c>
      <c r="AJ46" s="242">
        <v>0</v>
      </c>
      <c r="AK46" s="242">
        <v>1221</v>
      </c>
      <c r="AL46" s="242">
        <v>1</v>
      </c>
      <c r="AM46" s="234"/>
      <c r="AN46" s="242" t="s">
        <v>638</v>
      </c>
      <c r="AO46" s="242">
        <v>3230475</v>
      </c>
      <c r="AP46" s="242">
        <v>39</v>
      </c>
      <c r="AQ46" s="242">
        <v>16</v>
      </c>
      <c r="AR46" s="242">
        <v>157</v>
      </c>
      <c r="AS46" s="242">
        <v>1</v>
      </c>
      <c r="AT46" s="234"/>
      <c r="AU46" s="242" t="s">
        <v>642</v>
      </c>
      <c r="AV46" s="242">
        <v>10981593.800000001</v>
      </c>
      <c r="AW46" s="242">
        <v>385</v>
      </c>
      <c r="AX46" s="242">
        <v>8</v>
      </c>
      <c r="AY46" s="242">
        <v>424</v>
      </c>
      <c r="AZ46" s="242">
        <v>1</v>
      </c>
      <c r="BA46" s="234"/>
      <c r="BB46" s="242" t="s">
        <v>640</v>
      </c>
      <c r="BC46" s="242">
        <v>0</v>
      </c>
      <c r="BD46" s="242">
        <v>0</v>
      </c>
      <c r="BE46" s="242">
        <v>0</v>
      </c>
      <c r="BF46" s="242">
        <v>0</v>
      </c>
      <c r="BG46" s="242">
        <v>1</v>
      </c>
      <c r="BH46" s="236" t="s">
        <v>640</v>
      </c>
      <c r="BI46" s="242">
        <v>0</v>
      </c>
      <c r="BJ46" s="242">
        <v>0</v>
      </c>
      <c r="BK46" s="242">
        <v>0</v>
      </c>
      <c r="BL46" s="242">
        <v>0</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321</v>
      </c>
      <c r="C47" s="184">
        <v>44260</v>
      </c>
      <c r="D47" s="181">
        <v>9171.36</v>
      </c>
      <c r="E47" s="212">
        <v>1</v>
      </c>
      <c r="F47" s="206"/>
      <c r="G47" s="212" t="s">
        <v>266</v>
      </c>
      <c r="H47" s="212">
        <v>102910.77493776999</v>
      </c>
      <c r="I47" s="158"/>
      <c r="J47" s="154"/>
      <c r="K47" s="217"/>
      <c r="L47" s="217"/>
      <c r="M47" s="217"/>
      <c r="O47" s="230" t="s">
        <v>266</v>
      </c>
      <c r="P47" s="230">
        <v>100223.82959772</v>
      </c>
      <c r="Q47" s="228"/>
      <c r="S47" s="242"/>
      <c r="T47" s="247"/>
      <c r="U47" s="247"/>
      <c r="V47" s="247"/>
      <c r="W47" s="247"/>
      <c r="X47" s="247"/>
      <c r="Y47" s="234"/>
      <c r="Z47" s="242" t="s">
        <v>657</v>
      </c>
      <c r="AA47" s="242">
        <v>1500279.98</v>
      </c>
      <c r="AB47" s="242">
        <v>16</v>
      </c>
      <c r="AC47" s="242">
        <v>9</v>
      </c>
      <c r="AD47" s="242">
        <v>573</v>
      </c>
      <c r="AE47" s="242">
        <v>1</v>
      </c>
      <c r="AF47" s="242"/>
      <c r="AG47" s="242" t="s">
        <v>643</v>
      </c>
      <c r="AH47" s="242">
        <v>0</v>
      </c>
      <c r="AI47" s="242">
        <v>0</v>
      </c>
      <c r="AJ47" s="242">
        <v>0</v>
      </c>
      <c r="AK47" s="242">
        <v>0</v>
      </c>
      <c r="AL47" s="242">
        <v>1</v>
      </c>
      <c r="AM47" s="234"/>
      <c r="AN47" s="242" t="s">
        <v>639</v>
      </c>
      <c r="AO47" s="242">
        <v>15427625</v>
      </c>
      <c r="AP47" s="242">
        <v>93</v>
      </c>
      <c r="AQ47" s="242">
        <v>4</v>
      </c>
      <c r="AR47" s="242">
        <v>1239</v>
      </c>
      <c r="AS47" s="242">
        <v>1</v>
      </c>
      <c r="AT47" s="234"/>
      <c r="AU47" s="242" t="s">
        <v>643</v>
      </c>
      <c r="AV47" s="242">
        <v>0</v>
      </c>
      <c r="AW47" s="242">
        <v>0</v>
      </c>
      <c r="AX47" s="242">
        <v>0</v>
      </c>
      <c r="AY47" s="242">
        <v>0</v>
      </c>
      <c r="AZ47" s="242">
        <v>1</v>
      </c>
      <c r="BA47" s="234"/>
      <c r="BB47" s="242" t="s">
        <v>641</v>
      </c>
      <c r="BC47" s="242">
        <v>4458219261.21</v>
      </c>
      <c r="BD47" s="242">
        <v>17055</v>
      </c>
      <c r="BE47" s="242">
        <v>1421</v>
      </c>
      <c r="BF47" s="242">
        <v>510036</v>
      </c>
      <c r="BG47" s="242">
        <v>1</v>
      </c>
      <c r="BH47" s="236" t="s">
        <v>641</v>
      </c>
      <c r="BI47" s="242">
        <v>532086926.17000002</v>
      </c>
      <c r="BJ47" s="242">
        <v>1911</v>
      </c>
      <c r="BK47" s="242">
        <v>112</v>
      </c>
      <c r="BL47" s="242">
        <v>25721</v>
      </c>
      <c r="BM47" s="242">
        <v>1</v>
      </c>
      <c r="BN47" s="242"/>
      <c r="BO47" s="236"/>
      <c r="BP47" s="252">
        <v>155447</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544</v>
      </c>
      <c r="C48" s="184">
        <v>44560</v>
      </c>
      <c r="D48" s="181">
        <v>254.27800020999999</v>
      </c>
      <c r="E48" s="212">
        <v>1</v>
      </c>
      <c r="F48" s="206"/>
      <c r="G48" s="212" t="s">
        <v>94</v>
      </c>
      <c r="H48" s="212">
        <v>40698.556609189996</v>
      </c>
      <c r="I48" s="158"/>
      <c r="J48" s="154"/>
      <c r="K48" s="217"/>
      <c r="L48" s="217"/>
      <c r="M48" s="217"/>
      <c r="O48" s="230" t="s">
        <v>94</v>
      </c>
      <c r="P48" s="230">
        <v>38643.709525290004</v>
      </c>
      <c r="Q48" s="228"/>
      <c r="S48" s="242"/>
      <c r="T48" s="247"/>
      <c r="U48" s="247"/>
      <c r="V48" s="247"/>
      <c r="W48" s="247"/>
      <c r="X48" s="247"/>
      <c r="Y48" s="234"/>
      <c r="Z48" s="242" t="s">
        <v>658</v>
      </c>
      <c r="AA48" s="242">
        <v>0</v>
      </c>
      <c r="AB48" s="242">
        <v>0</v>
      </c>
      <c r="AC48" s="242">
        <v>0</v>
      </c>
      <c r="AD48" s="242">
        <v>0</v>
      </c>
      <c r="AE48" s="242">
        <v>0</v>
      </c>
      <c r="AF48" s="242"/>
      <c r="AG48" s="242" t="s">
        <v>644</v>
      </c>
      <c r="AH48" s="242">
        <v>0</v>
      </c>
      <c r="AI48" s="242">
        <v>0</v>
      </c>
      <c r="AJ48" s="242">
        <v>0</v>
      </c>
      <c r="AK48" s="242">
        <v>3</v>
      </c>
      <c r="AL48" s="242">
        <v>1</v>
      </c>
      <c r="AM48" s="234"/>
      <c r="AN48" s="242" t="s">
        <v>640</v>
      </c>
      <c r="AO48" s="242">
        <v>3046250</v>
      </c>
      <c r="AP48" s="242">
        <v>28</v>
      </c>
      <c r="AQ48" s="242">
        <v>6</v>
      </c>
      <c r="AR48" s="242">
        <v>147</v>
      </c>
      <c r="AS48" s="242">
        <v>1</v>
      </c>
      <c r="AT48" s="234"/>
      <c r="AU48" s="242" t="s">
        <v>644</v>
      </c>
      <c r="AV48" s="242">
        <v>0</v>
      </c>
      <c r="AW48" s="242">
        <v>0</v>
      </c>
      <c r="AX48" s="242">
        <v>0</v>
      </c>
      <c r="AY48" s="242">
        <v>3</v>
      </c>
      <c r="AZ48" s="242">
        <v>1</v>
      </c>
      <c r="BA48" s="234"/>
      <c r="BB48" s="242" t="s">
        <v>642</v>
      </c>
      <c r="BC48" s="242">
        <v>24292964.949999999</v>
      </c>
      <c r="BD48" s="242">
        <v>1114</v>
      </c>
      <c r="BE48" s="242">
        <v>91</v>
      </c>
      <c r="BF48" s="242">
        <v>11311</v>
      </c>
      <c r="BG48" s="242">
        <v>1</v>
      </c>
      <c r="BH48" s="236" t="s">
        <v>642</v>
      </c>
      <c r="BI48" s="242">
        <v>3840211.25</v>
      </c>
      <c r="BJ48" s="242">
        <v>160</v>
      </c>
      <c r="BK48" s="242">
        <v>2</v>
      </c>
      <c r="BL48" s="242">
        <v>269</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545</v>
      </c>
      <c r="C49" s="184">
        <v>44503</v>
      </c>
      <c r="D49" s="181">
        <v>5788.3981418399999</v>
      </c>
      <c r="E49" s="212">
        <v>1</v>
      </c>
      <c r="F49" s="206"/>
      <c r="G49" s="212" t="s">
        <v>267</v>
      </c>
      <c r="H49" s="212">
        <v>303.66809038999997</v>
      </c>
      <c r="I49" s="158"/>
      <c r="J49" s="154"/>
      <c r="K49" s="217"/>
      <c r="L49" s="217"/>
      <c r="M49" s="217"/>
      <c r="O49" s="230" t="s">
        <v>267</v>
      </c>
      <c r="P49" s="230">
        <v>290.27990342999999</v>
      </c>
      <c r="Q49" s="228"/>
      <c r="S49" s="242"/>
      <c r="T49" s="247"/>
      <c r="U49" s="247"/>
      <c r="V49" s="247"/>
      <c r="W49" s="247"/>
      <c r="X49" s="247"/>
      <c r="Y49" s="234"/>
      <c r="Z49" s="242" t="s">
        <v>658</v>
      </c>
      <c r="AA49" s="242">
        <v>0</v>
      </c>
      <c r="AB49" s="242">
        <v>0</v>
      </c>
      <c r="AC49" s="242">
        <v>0</v>
      </c>
      <c r="AD49" s="242">
        <v>0</v>
      </c>
      <c r="AE49" s="242">
        <v>1</v>
      </c>
      <c r="AF49" s="242"/>
      <c r="AG49" s="242" t="s">
        <v>645</v>
      </c>
      <c r="AH49" s="242">
        <v>0</v>
      </c>
      <c r="AI49" s="242">
        <v>0</v>
      </c>
      <c r="AJ49" s="242">
        <v>0</v>
      </c>
      <c r="AK49" s="242">
        <v>360</v>
      </c>
      <c r="AL49" s="242">
        <v>1</v>
      </c>
      <c r="AM49" s="234"/>
      <c r="AN49" s="242" t="s">
        <v>641</v>
      </c>
      <c r="AO49" s="242">
        <v>17013228578.16</v>
      </c>
      <c r="AP49" s="242">
        <v>48603</v>
      </c>
      <c r="AQ49" s="242">
        <v>3654</v>
      </c>
      <c r="AR49" s="242">
        <v>459111</v>
      </c>
      <c r="AS49" s="242">
        <v>1</v>
      </c>
      <c r="AT49" s="234"/>
      <c r="AU49" s="242" t="s">
        <v>645</v>
      </c>
      <c r="AV49" s="242">
        <v>0</v>
      </c>
      <c r="AW49" s="242">
        <v>0</v>
      </c>
      <c r="AX49" s="242">
        <v>0</v>
      </c>
      <c r="AY49" s="242">
        <v>400</v>
      </c>
      <c r="AZ49" s="242">
        <v>1</v>
      </c>
      <c r="BA49" s="234"/>
      <c r="BB49" s="242" t="s">
        <v>643</v>
      </c>
      <c r="BC49" s="242">
        <v>0</v>
      </c>
      <c r="BD49" s="242">
        <v>0</v>
      </c>
      <c r="BE49" s="242">
        <v>0</v>
      </c>
      <c r="BF49" s="242">
        <v>420</v>
      </c>
      <c r="BG49" s="242">
        <v>1</v>
      </c>
      <c r="BH49" s="236" t="s">
        <v>643</v>
      </c>
      <c r="BI49" s="242">
        <v>0</v>
      </c>
      <c r="BJ49" s="242">
        <v>0</v>
      </c>
      <c r="BK49" s="242">
        <v>0</v>
      </c>
      <c r="BL49" s="242">
        <v>20</v>
      </c>
      <c r="BM49" s="242">
        <v>1</v>
      </c>
      <c r="BN49" s="242"/>
      <c r="BO49" s="245" t="s">
        <v>458</v>
      </c>
      <c r="BP49" s="253" t="s">
        <v>523</v>
      </c>
      <c r="BQ49" s="253" t="s">
        <v>630</v>
      </c>
      <c r="BR49" s="253" t="s">
        <v>631</v>
      </c>
    </row>
    <row r="50" spans="1:70" x14ac:dyDescent="0.25">
      <c r="B50" s="181" t="s">
        <v>546</v>
      </c>
      <c r="C50" s="184">
        <v>44467</v>
      </c>
      <c r="D50" s="181">
        <v>26340.367150819999</v>
      </c>
      <c r="E50" s="212">
        <v>1</v>
      </c>
      <c r="F50" s="206"/>
      <c r="G50" s="212" t="s">
        <v>276</v>
      </c>
      <c r="H50" s="212">
        <v>19205.786599999999</v>
      </c>
      <c r="I50" s="158"/>
      <c r="J50" s="154"/>
      <c r="K50" s="217"/>
      <c r="L50" s="217"/>
      <c r="M50" s="217"/>
      <c r="O50" s="230" t="s">
        <v>276</v>
      </c>
      <c r="P50" s="230">
        <v>19111.997599999999</v>
      </c>
      <c r="Q50" s="228"/>
      <c r="R50" s="148" t="s">
        <v>422</v>
      </c>
      <c r="S50" s="242"/>
      <c r="T50" s="247"/>
      <c r="U50" s="247"/>
      <c r="V50" s="247"/>
      <c r="W50" s="247"/>
      <c r="X50" s="247"/>
      <c r="Y50" s="234"/>
      <c r="Z50" s="242" t="s">
        <v>659</v>
      </c>
      <c r="AA50" s="242">
        <v>0</v>
      </c>
      <c r="AB50" s="242">
        <v>0</v>
      </c>
      <c r="AC50" s="242">
        <v>0</v>
      </c>
      <c r="AD50" s="242">
        <v>0</v>
      </c>
      <c r="AE50" s="242">
        <v>0</v>
      </c>
      <c r="AF50" s="242"/>
      <c r="AG50" s="242" t="s">
        <v>646</v>
      </c>
      <c r="AH50" s="242">
        <v>0</v>
      </c>
      <c r="AI50" s="242">
        <v>0</v>
      </c>
      <c r="AJ50" s="242">
        <v>0</v>
      </c>
      <c r="AK50" s="242">
        <v>0</v>
      </c>
      <c r="AL50" s="242">
        <v>1</v>
      </c>
      <c r="AM50" s="234"/>
      <c r="AN50" s="242" t="s">
        <v>642</v>
      </c>
      <c r="AO50" s="242">
        <v>42933706.299999997</v>
      </c>
      <c r="AP50" s="242">
        <v>1487</v>
      </c>
      <c r="AQ50" s="242">
        <v>140</v>
      </c>
      <c r="AR50" s="242">
        <v>8526</v>
      </c>
      <c r="AS50" s="242">
        <v>1</v>
      </c>
      <c r="AT50" s="234"/>
      <c r="AU50" s="242" t="s">
        <v>646</v>
      </c>
      <c r="AV50" s="242">
        <v>0</v>
      </c>
      <c r="AW50" s="242">
        <v>0</v>
      </c>
      <c r="AX50" s="242">
        <v>0</v>
      </c>
      <c r="AY50" s="242">
        <v>0</v>
      </c>
      <c r="AZ50" s="242">
        <v>1</v>
      </c>
      <c r="BA50" s="234"/>
      <c r="BB50" s="242" t="s">
        <v>644</v>
      </c>
      <c r="BC50" s="242">
        <v>641142</v>
      </c>
      <c r="BD50" s="242">
        <v>9</v>
      </c>
      <c r="BE50" s="242">
        <v>4</v>
      </c>
      <c r="BF50" s="242">
        <v>177</v>
      </c>
      <c r="BG50" s="242">
        <v>1</v>
      </c>
      <c r="BH50" s="236" t="s">
        <v>644</v>
      </c>
      <c r="BI50" s="242">
        <v>0</v>
      </c>
      <c r="BJ50" s="242">
        <v>0</v>
      </c>
      <c r="BK50" s="242">
        <v>0</v>
      </c>
      <c r="BL50" s="242">
        <v>8</v>
      </c>
      <c r="BM50" s="242">
        <v>1</v>
      </c>
      <c r="BN50" s="242"/>
      <c r="BO50" s="236"/>
      <c r="BP50" s="252"/>
      <c r="BQ50" s="252"/>
      <c r="BR50" s="252"/>
    </row>
    <row r="51" spans="1:70" x14ac:dyDescent="0.25">
      <c r="B51" s="181" t="s">
        <v>329</v>
      </c>
      <c r="C51" s="184">
        <v>41948</v>
      </c>
      <c r="D51" s="181">
        <v>15682.48</v>
      </c>
      <c r="E51" s="212">
        <v>1</v>
      </c>
      <c r="F51" s="203"/>
      <c r="G51" s="212" t="s">
        <v>277</v>
      </c>
      <c r="H51" s="212">
        <v>29590.89518268</v>
      </c>
      <c r="I51" s="158"/>
      <c r="J51" s="152"/>
      <c r="K51" s="217"/>
      <c r="L51" s="217"/>
      <c r="M51" s="217"/>
      <c r="O51" s="230" t="s">
        <v>277</v>
      </c>
      <c r="P51" s="230">
        <v>28406.137283579999</v>
      </c>
      <c r="Q51" s="228"/>
      <c r="S51" s="242"/>
      <c r="T51" s="247"/>
      <c r="U51" s="247"/>
      <c r="V51" s="247"/>
      <c r="W51" s="247"/>
      <c r="X51" s="247"/>
      <c r="Y51" s="234"/>
      <c r="Z51" s="242" t="s">
        <v>659</v>
      </c>
      <c r="AA51" s="242">
        <v>0</v>
      </c>
      <c r="AB51" s="242">
        <v>0</v>
      </c>
      <c r="AC51" s="242">
        <v>0</v>
      </c>
      <c r="AD51" s="242">
        <v>0</v>
      </c>
      <c r="AE51" s="242">
        <v>1</v>
      </c>
      <c r="AF51" s="242"/>
      <c r="AG51" s="242" t="s">
        <v>647</v>
      </c>
      <c r="AH51" s="242">
        <v>291740</v>
      </c>
      <c r="AI51" s="242">
        <v>1</v>
      </c>
      <c r="AJ51" s="242">
        <v>1</v>
      </c>
      <c r="AK51" s="242">
        <v>376</v>
      </c>
      <c r="AL51" s="242">
        <v>1</v>
      </c>
      <c r="AM51" s="234"/>
      <c r="AN51" s="242" t="s">
        <v>643</v>
      </c>
      <c r="AO51" s="242">
        <v>0</v>
      </c>
      <c r="AP51" s="242">
        <v>0</v>
      </c>
      <c r="AQ51" s="242">
        <v>0</v>
      </c>
      <c r="AR51" s="242">
        <v>0</v>
      </c>
      <c r="AS51" s="242">
        <v>1</v>
      </c>
      <c r="AT51" s="234"/>
      <c r="AU51" s="242" t="s">
        <v>647</v>
      </c>
      <c r="AV51" s="242">
        <v>0</v>
      </c>
      <c r="AW51" s="242">
        <v>0</v>
      </c>
      <c r="AX51" s="242">
        <v>0</v>
      </c>
      <c r="AY51" s="242">
        <v>403</v>
      </c>
      <c r="AZ51" s="242">
        <v>1</v>
      </c>
      <c r="BA51" s="234"/>
      <c r="BB51" s="242" t="s">
        <v>645</v>
      </c>
      <c r="BC51" s="242">
        <v>32958689</v>
      </c>
      <c r="BD51" s="242">
        <v>1255</v>
      </c>
      <c r="BE51" s="242">
        <v>12</v>
      </c>
      <c r="BF51" s="242">
        <v>19641</v>
      </c>
      <c r="BG51" s="242">
        <v>1</v>
      </c>
      <c r="BH51" s="236" t="s">
        <v>645</v>
      </c>
      <c r="BI51" s="242">
        <v>0</v>
      </c>
      <c r="BJ51" s="242">
        <v>0</v>
      </c>
      <c r="BK51" s="242">
        <v>0</v>
      </c>
      <c r="BL51" s="242">
        <v>1086</v>
      </c>
      <c r="BM51" s="242">
        <v>1</v>
      </c>
      <c r="BN51" s="242"/>
      <c r="BO51" s="236"/>
      <c r="BP51" s="236"/>
      <c r="BQ51" s="236"/>
      <c r="BR51" s="236"/>
    </row>
    <row r="52" spans="1:70" x14ac:dyDescent="0.25">
      <c r="B52" s="181" t="s">
        <v>509</v>
      </c>
      <c r="C52" s="184">
        <v>44561</v>
      </c>
      <c r="D52" s="181">
        <v>393.88612388000001</v>
      </c>
      <c r="E52" s="212">
        <v>1</v>
      </c>
      <c r="F52" s="198"/>
      <c r="G52" s="212" t="s">
        <v>57</v>
      </c>
      <c r="H52" s="212">
        <v>34191.463115769999</v>
      </c>
      <c r="I52" s="158"/>
      <c r="J52" s="152"/>
      <c r="K52" s="217"/>
      <c r="L52" s="217"/>
      <c r="M52" s="217"/>
      <c r="O52" s="230" t="s">
        <v>57</v>
      </c>
      <c r="P52" s="230">
        <v>32731.81072351</v>
      </c>
      <c r="Q52" s="228"/>
      <c r="S52" s="242"/>
      <c r="T52" s="247"/>
      <c r="U52" s="247"/>
      <c r="V52" s="247"/>
      <c r="W52" s="247"/>
      <c r="X52" s="247"/>
      <c r="Y52" s="234"/>
      <c r="Z52" s="242" t="s">
        <v>660</v>
      </c>
      <c r="AA52" s="242">
        <v>0</v>
      </c>
      <c r="AB52" s="242">
        <v>0</v>
      </c>
      <c r="AC52" s="242">
        <v>0</v>
      </c>
      <c r="AD52" s="242">
        <v>0</v>
      </c>
      <c r="AE52" s="242">
        <v>0</v>
      </c>
      <c r="AF52" s="242"/>
      <c r="AG52" s="242" t="s">
        <v>648</v>
      </c>
      <c r="AH52" s="242">
        <v>0</v>
      </c>
      <c r="AI52" s="242">
        <v>0</v>
      </c>
      <c r="AJ52" s="242">
        <v>0</v>
      </c>
      <c r="AK52" s="242">
        <v>31</v>
      </c>
      <c r="AL52" s="242">
        <v>1</v>
      </c>
      <c r="AM52" s="234"/>
      <c r="AN52" s="242" t="s">
        <v>644</v>
      </c>
      <c r="AO52" s="242">
        <v>606000</v>
      </c>
      <c r="AP52" s="242">
        <v>5</v>
      </c>
      <c r="AQ52" s="242">
        <v>1</v>
      </c>
      <c r="AR52" s="242">
        <v>118</v>
      </c>
      <c r="AS52" s="242">
        <v>1</v>
      </c>
      <c r="AT52" s="234"/>
      <c r="AU52" s="242" t="s">
        <v>648</v>
      </c>
      <c r="AV52" s="242">
        <v>723320</v>
      </c>
      <c r="AW52" s="242">
        <v>4</v>
      </c>
      <c r="AX52" s="242">
        <v>2</v>
      </c>
      <c r="AY52" s="242">
        <v>31</v>
      </c>
      <c r="AZ52" s="242">
        <v>1</v>
      </c>
      <c r="BA52" s="234"/>
      <c r="BB52" s="242" t="s">
        <v>646</v>
      </c>
      <c r="BC52" s="242">
        <v>0</v>
      </c>
      <c r="BD52" s="242">
        <v>0</v>
      </c>
      <c r="BE52" s="242">
        <v>0</v>
      </c>
      <c r="BF52" s="242">
        <v>0</v>
      </c>
      <c r="BG52" s="242">
        <v>1</v>
      </c>
      <c r="BH52" s="236" t="s">
        <v>646</v>
      </c>
      <c r="BI52" s="242">
        <v>0</v>
      </c>
      <c r="BJ52" s="242">
        <v>0</v>
      </c>
      <c r="BK52" s="242">
        <v>0</v>
      </c>
      <c r="BL52" s="242">
        <v>0</v>
      </c>
      <c r="BM52" s="242">
        <v>1</v>
      </c>
      <c r="BN52" s="242"/>
      <c r="BO52" s="248" t="s">
        <v>459</v>
      </c>
      <c r="BP52" s="253" t="s">
        <v>523</v>
      </c>
      <c r="BQ52" s="253" t="s">
        <v>630</v>
      </c>
      <c r="BR52" s="253" t="s">
        <v>631</v>
      </c>
    </row>
    <row r="53" spans="1:70" x14ac:dyDescent="0.25">
      <c r="B53" s="181" t="s">
        <v>555</v>
      </c>
      <c r="C53" s="184">
        <v>44504</v>
      </c>
      <c r="D53" s="181">
        <v>8181.92670404</v>
      </c>
      <c r="E53" s="212">
        <v>1</v>
      </c>
      <c r="F53" s="199"/>
      <c r="G53" s="212" t="s">
        <v>50</v>
      </c>
      <c r="H53" s="212">
        <v>36850.825312469999</v>
      </c>
      <c r="I53" s="158"/>
      <c r="J53" s="152"/>
      <c r="K53" s="217"/>
      <c r="L53" s="217"/>
      <c r="M53" s="217"/>
      <c r="O53" s="230" t="s">
        <v>50</v>
      </c>
      <c r="P53" s="230">
        <v>35271.121968320003</v>
      </c>
      <c r="Q53" s="228"/>
      <c r="S53" s="242"/>
      <c r="T53" s="247"/>
      <c r="U53" s="247"/>
      <c r="V53" s="247"/>
      <c r="W53" s="247"/>
      <c r="X53" s="247"/>
      <c r="Y53" s="234"/>
      <c r="Z53" s="242" t="s">
        <v>660</v>
      </c>
      <c r="AA53" s="242">
        <v>12368925.300000001</v>
      </c>
      <c r="AB53" s="242">
        <v>69</v>
      </c>
      <c r="AC53" s="242">
        <v>22</v>
      </c>
      <c r="AD53" s="242">
        <v>2039</v>
      </c>
      <c r="AE53" s="242">
        <v>1</v>
      </c>
      <c r="AF53" s="242"/>
      <c r="AG53" s="242" t="s">
        <v>649</v>
      </c>
      <c r="AH53" s="242">
        <v>964450</v>
      </c>
      <c r="AI53" s="242">
        <v>4</v>
      </c>
      <c r="AJ53" s="242">
        <v>3</v>
      </c>
      <c r="AK53" s="242">
        <v>348</v>
      </c>
      <c r="AL53" s="242">
        <v>1</v>
      </c>
      <c r="AM53" s="234"/>
      <c r="AN53" s="242" t="s">
        <v>645</v>
      </c>
      <c r="AO53" s="242">
        <v>0</v>
      </c>
      <c r="AP53" s="242">
        <v>0</v>
      </c>
      <c r="AQ53" s="242">
        <v>0</v>
      </c>
      <c r="AR53" s="242">
        <v>8400</v>
      </c>
      <c r="AS53" s="242">
        <v>1</v>
      </c>
      <c r="AT53" s="234"/>
      <c r="AU53" s="242" t="s">
        <v>649</v>
      </c>
      <c r="AV53" s="242">
        <v>12365700</v>
      </c>
      <c r="AW53" s="242">
        <v>49</v>
      </c>
      <c r="AX53" s="242">
        <v>9</v>
      </c>
      <c r="AY53" s="242">
        <v>126</v>
      </c>
      <c r="AZ53" s="242">
        <v>1</v>
      </c>
      <c r="BA53" s="234"/>
      <c r="BB53" s="242" t="s">
        <v>647</v>
      </c>
      <c r="BC53" s="242">
        <v>137646524.794</v>
      </c>
      <c r="BD53" s="242">
        <v>492</v>
      </c>
      <c r="BE53" s="242">
        <v>55</v>
      </c>
      <c r="BF53" s="242">
        <v>3562</v>
      </c>
      <c r="BG53" s="242">
        <v>1</v>
      </c>
      <c r="BH53" s="236" t="s">
        <v>647</v>
      </c>
      <c r="BI53" s="242">
        <v>560680</v>
      </c>
      <c r="BJ53" s="242">
        <v>2</v>
      </c>
      <c r="BK53" s="242">
        <v>1</v>
      </c>
      <c r="BL53" s="242">
        <v>158</v>
      </c>
      <c r="BM53" s="242">
        <v>1</v>
      </c>
      <c r="BN53" s="242"/>
      <c r="BO53" s="240"/>
      <c r="BP53" s="252"/>
      <c r="BQ53" s="252"/>
      <c r="BR53" s="252"/>
    </row>
    <row r="54" spans="1:70" x14ac:dyDescent="0.25">
      <c r="B54" s="181" t="s">
        <v>556</v>
      </c>
      <c r="C54" s="184">
        <v>44498</v>
      </c>
      <c r="D54" s="181">
        <v>1300</v>
      </c>
      <c r="E54" s="212">
        <v>1</v>
      </c>
      <c r="F54" s="204"/>
      <c r="G54" s="212" t="s">
        <v>278</v>
      </c>
      <c r="H54" s="212">
        <v>26101.13</v>
      </c>
      <c r="I54" s="158"/>
      <c r="J54" s="152"/>
      <c r="K54" s="217"/>
      <c r="L54" s="217"/>
      <c r="M54" s="217"/>
      <c r="O54" s="230" t="s">
        <v>278</v>
      </c>
      <c r="P54" s="230">
        <v>24854.6</v>
      </c>
      <c r="Q54" s="228"/>
      <c r="S54" s="242"/>
      <c r="T54" s="247"/>
      <c r="U54" s="247"/>
      <c r="V54" s="247"/>
      <c r="W54" s="247"/>
      <c r="X54" s="247"/>
      <c r="Y54" s="234"/>
      <c r="Z54" s="242" t="s">
        <v>661</v>
      </c>
      <c r="AA54" s="242">
        <v>0</v>
      </c>
      <c r="AB54" s="242">
        <v>0</v>
      </c>
      <c r="AC54" s="242">
        <v>0</v>
      </c>
      <c r="AD54" s="242">
        <v>0</v>
      </c>
      <c r="AE54" s="242">
        <v>0</v>
      </c>
      <c r="AF54" s="242"/>
      <c r="AG54" s="242" t="s">
        <v>650</v>
      </c>
      <c r="AH54" s="242">
        <v>0</v>
      </c>
      <c r="AI54" s="242">
        <v>0</v>
      </c>
      <c r="AJ54" s="242">
        <v>0</v>
      </c>
      <c r="AK54" s="242">
        <v>0</v>
      </c>
      <c r="AL54" s="242">
        <v>1</v>
      </c>
      <c r="AM54" s="234"/>
      <c r="AN54" s="242" t="s">
        <v>646</v>
      </c>
      <c r="AO54" s="242">
        <v>0</v>
      </c>
      <c r="AP54" s="242">
        <v>0</v>
      </c>
      <c r="AQ54" s="242">
        <v>0</v>
      </c>
      <c r="AR54" s="242">
        <v>0</v>
      </c>
      <c r="AS54" s="242">
        <v>1</v>
      </c>
      <c r="AT54" s="234"/>
      <c r="AU54" s="242" t="s">
        <v>650</v>
      </c>
      <c r="AV54" s="242">
        <v>0</v>
      </c>
      <c r="AW54" s="242">
        <v>0</v>
      </c>
      <c r="AX54" s="242">
        <v>0</v>
      </c>
      <c r="AY54" s="242">
        <v>0</v>
      </c>
      <c r="AZ54" s="242">
        <v>1</v>
      </c>
      <c r="BA54" s="234"/>
      <c r="BB54" s="242" t="s">
        <v>648</v>
      </c>
      <c r="BC54" s="242">
        <v>8500970.0099999998</v>
      </c>
      <c r="BD54" s="242">
        <v>46</v>
      </c>
      <c r="BE54" s="242">
        <v>18</v>
      </c>
      <c r="BF54" s="242">
        <v>577</v>
      </c>
      <c r="BG54" s="242">
        <v>1</v>
      </c>
      <c r="BH54" s="236" t="s">
        <v>648</v>
      </c>
      <c r="BI54" s="242">
        <v>0</v>
      </c>
      <c r="BJ54" s="242">
        <v>0</v>
      </c>
      <c r="BK54" s="242">
        <v>0</v>
      </c>
      <c r="BL54" s="242">
        <v>37</v>
      </c>
      <c r="BM54" s="242">
        <v>1</v>
      </c>
      <c r="BN54" s="242"/>
      <c r="BO54" s="240"/>
      <c r="BP54" s="252"/>
      <c r="BQ54" s="252"/>
      <c r="BR54" s="252"/>
    </row>
    <row r="55" spans="1:70" x14ac:dyDescent="0.25">
      <c r="B55" s="181" t="s">
        <v>558</v>
      </c>
      <c r="C55" s="184">
        <v>44426</v>
      </c>
      <c r="D55" s="181">
        <v>7075.9582582200001</v>
      </c>
      <c r="E55" s="212">
        <v>1</v>
      </c>
      <c r="F55" s="207"/>
      <c r="G55" s="212" t="s">
        <v>534</v>
      </c>
      <c r="H55" s="212">
        <v>92247.116275220003</v>
      </c>
      <c r="I55" s="158"/>
      <c r="J55" s="152"/>
      <c r="K55" s="217"/>
      <c r="L55" s="217"/>
      <c r="M55" s="217"/>
      <c r="O55" s="230" t="s">
        <v>534</v>
      </c>
      <c r="P55" s="230">
        <v>90108.525029929995</v>
      </c>
      <c r="Q55" s="228"/>
      <c r="S55" s="242"/>
      <c r="T55" s="247"/>
      <c r="U55" s="247"/>
      <c r="V55" s="247"/>
      <c r="W55" s="247"/>
      <c r="X55" s="247"/>
      <c r="Y55" s="234"/>
      <c r="Z55" s="242" t="s">
        <v>661</v>
      </c>
      <c r="AA55" s="242">
        <v>5137849.5</v>
      </c>
      <c r="AB55" s="242">
        <v>46</v>
      </c>
      <c r="AC55" s="242">
        <v>18</v>
      </c>
      <c r="AD55" s="242">
        <v>1746</v>
      </c>
      <c r="AE55" s="242">
        <v>1</v>
      </c>
      <c r="AF55" s="242"/>
      <c r="AG55" s="242" t="s">
        <v>653</v>
      </c>
      <c r="AH55" s="242">
        <v>35150</v>
      </c>
      <c r="AI55" s="242">
        <v>1</v>
      </c>
      <c r="AJ55" s="242">
        <v>1</v>
      </c>
      <c r="AK55" s="242">
        <v>61</v>
      </c>
      <c r="AL55" s="242">
        <v>1</v>
      </c>
      <c r="AM55" s="234"/>
      <c r="AN55" s="242" t="s">
        <v>647</v>
      </c>
      <c r="AO55" s="242">
        <v>141822909.91999999</v>
      </c>
      <c r="AP55" s="242">
        <v>512</v>
      </c>
      <c r="AQ55" s="242">
        <v>24</v>
      </c>
      <c r="AR55" s="242">
        <v>8537</v>
      </c>
      <c r="AS55" s="242">
        <v>1</v>
      </c>
      <c r="AT55" s="234"/>
      <c r="AU55" s="242" t="s">
        <v>651</v>
      </c>
      <c r="AV55" s="242">
        <v>0</v>
      </c>
      <c r="AW55" s="242">
        <v>0</v>
      </c>
      <c r="AX55" s="242">
        <v>0</v>
      </c>
      <c r="AY55" s="242">
        <v>77</v>
      </c>
      <c r="AZ55" s="242">
        <v>1</v>
      </c>
      <c r="BA55" s="234"/>
      <c r="BB55" s="242" t="s">
        <v>649</v>
      </c>
      <c r="BC55" s="242">
        <v>1242440</v>
      </c>
      <c r="BD55" s="242">
        <v>8</v>
      </c>
      <c r="BE55" s="242">
        <v>1</v>
      </c>
      <c r="BF55" s="242">
        <v>162</v>
      </c>
      <c r="BG55" s="242">
        <v>1</v>
      </c>
      <c r="BH55" s="236" t="s">
        <v>649</v>
      </c>
      <c r="BI55" s="242">
        <v>0</v>
      </c>
      <c r="BJ55" s="242">
        <v>0</v>
      </c>
      <c r="BK55" s="242">
        <v>0</v>
      </c>
      <c r="BL55" s="242">
        <v>2</v>
      </c>
      <c r="BM55" s="242">
        <v>1</v>
      </c>
      <c r="BN55" s="242"/>
      <c r="BO55" s="245" t="s">
        <v>460</v>
      </c>
      <c r="BP55" s="253"/>
      <c r="BQ55" s="253"/>
      <c r="BR55" s="252"/>
    </row>
    <row r="56" spans="1:70" x14ac:dyDescent="0.25">
      <c r="B56" s="181" t="s">
        <v>336</v>
      </c>
      <c r="C56" s="184">
        <v>42030</v>
      </c>
      <c r="D56" s="181">
        <v>36618.99</v>
      </c>
      <c r="E56" s="212">
        <v>1</v>
      </c>
      <c r="F56" s="207"/>
      <c r="G56" s="212" t="s">
        <v>96</v>
      </c>
      <c r="H56" s="212">
        <v>430.25321919999999</v>
      </c>
      <c r="I56" s="158"/>
      <c r="J56" s="152"/>
      <c r="K56" s="217"/>
      <c r="L56" s="217"/>
      <c r="M56" s="217"/>
      <c r="O56" s="230" t="s">
        <v>96</v>
      </c>
      <c r="P56" s="230">
        <v>405.09991030999998</v>
      </c>
      <c r="Q56" s="228"/>
      <c r="S56" s="242"/>
      <c r="T56" s="247"/>
      <c r="U56" s="247"/>
      <c r="V56" s="247"/>
      <c r="W56" s="247"/>
      <c r="X56" s="247"/>
      <c r="Y56" s="234"/>
      <c r="Z56" s="242" t="s">
        <v>662</v>
      </c>
      <c r="AA56" s="242">
        <v>0</v>
      </c>
      <c r="AB56" s="242">
        <v>0</v>
      </c>
      <c r="AC56" s="242">
        <v>0</v>
      </c>
      <c r="AD56" s="242">
        <v>0</v>
      </c>
      <c r="AE56" s="242">
        <v>0</v>
      </c>
      <c r="AF56" s="242"/>
      <c r="AG56" s="242" t="s">
        <v>654</v>
      </c>
      <c r="AH56" s="242">
        <v>0</v>
      </c>
      <c r="AI56" s="242">
        <v>0</v>
      </c>
      <c r="AJ56" s="242">
        <v>0</v>
      </c>
      <c r="AK56" s="242">
        <v>3</v>
      </c>
      <c r="AL56" s="242">
        <v>1</v>
      </c>
      <c r="AM56" s="234"/>
      <c r="AN56" s="242" t="s">
        <v>648</v>
      </c>
      <c r="AO56" s="242">
        <v>42591779.93</v>
      </c>
      <c r="AP56" s="242">
        <v>233</v>
      </c>
      <c r="AQ56" s="242">
        <v>28</v>
      </c>
      <c r="AR56" s="242">
        <v>789</v>
      </c>
      <c r="AS56" s="242">
        <v>1</v>
      </c>
      <c r="AT56" s="234"/>
      <c r="AU56" s="242" t="s">
        <v>652</v>
      </c>
      <c r="AV56" s="242">
        <v>507600</v>
      </c>
      <c r="AW56" s="242">
        <v>4</v>
      </c>
      <c r="AX56" s="242">
        <v>1</v>
      </c>
      <c r="AY56" s="242">
        <v>250</v>
      </c>
      <c r="AZ56" s="242">
        <v>1</v>
      </c>
      <c r="BA56" s="234"/>
      <c r="BB56" s="242" t="s">
        <v>650</v>
      </c>
      <c r="BC56" s="242">
        <v>2394915.6</v>
      </c>
      <c r="BD56" s="242">
        <v>39</v>
      </c>
      <c r="BE56" s="242">
        <v>3</v>
      </c>
      <c r="BF56" s="242">
        <v>490</v>
      </c>
      <c r="BG56" s="242">
        <v>1</v>
      </c>
      <c r="BH56" s="236" t="s">
        <v>650</v>
      </c>
      <c r="BI56" s="242">
        <v>0</v>
      </c>
      <c r="BJ56" s="242">
        <v>0</v>
      </c>
      <c r="BK56" s="242">
        <v>0</v>
      </c>
      <c r="BL56" s="242">
        <v>0</v>
      </c>
      <c r="BM56" s="242">
        <v>1</v>
      </c>
      <c r="BN56" s="242"/>
      <c r="BO56" s="236"/>
      <c r="BP56" s="252"/>
      <c r="BQ56" s="252"/>
      <c r="BR56" s="252"/>
    </row>
    <row r="57" spans="1:70" x14ac:dyDescent="0.25">
      <c r="B57" s="181" t="s">
        <v>564</v>
      </c>
      <c r="C57" s="184">
        <v>44552</v>
      </c>
      <c r="D57" s="181">
        <v>18.513440989999999</v>
      </c>
      <c r="E57" s="212">
        <v>1</v>
      </c>
      <c r="F57" s="207"/>
      <c r="G57" s="212" t="s">
        <v>98</v>
      </c>
      <c r="H57" s="212">
        <v>937.72245267000005</v>
      </c>
      <c r="I57" s="158"/>
      <c r="J57" s="152"/>
      <c r="K57" s="217"/>
      <c r="L57" s="217"/>
      <c r="M57" s="217"/>
      <c r="O57" s="230" t="s">
        <v>98</v>
      </c>
      <c r="P57" s="230">
        <v>902.29694013999995</v>
      </c>
      <c r="Q57" s="228"/>
      <c r="S57" s="242"/>
      <c r="T57" s="247"/>
      <c r="U57" s="247"/>
      <c r="V57" s="247"/>
      <c r="W57" s="247"/>
      <c r="X57" s="247"/>
      <c r="Y57" s="234"/>
      <c r="Z57" s="242" t="s">
        <v>662</v>
      </c>
      <c r="AA57" s="242">
        <v>58106666.439999998</v>
      </c>
      <c r="AB57" s="242">
        <v>247</v>
      </c>
      <c r="AC57" s="242">
        <v>72</v>
      </c>
      <c r="AD57" s="242">
        <v>1892</v>
      </c>
      <c r="AE57" s="242">
        <v>1</v>
      </c>
      <c r="AF57" s="242"/>
      <c r="AG57" s="242" t="s">
        <v>655</v>
      </c>
      <c r="AH57" s="242">
        <v>0</v>
      </c>
      <c r="AI57" s="242">
        <v>0</v>
      </c>
      <c r="AJ57" s="242">
        <v>0</v>
      </c>
      <c r="AK57" s="242">
        <v>1</v>
      </c>
      <c r="AL57" s="242">
        <v>1</v>
      </c>
      <c r="AM57" s="234"/>
      <c r="AN57" s="242" t="s">
        <v>649</v>
      </c>
      <c r="AO57" s="242">
        <v>249502607.36000001</v>
      </c>
      <c r="AP57" s="242">
        <v>1052</v>
      </c>
      <c r="AQ57" s="242">
        <v>108</v>
      </c>
      <c r="AR57" s="242">
        <v>2653</v>
      </c>
      <c r="AS57" s="242">
        <v>1</v>
      </c>
      <c r="AT57" s="234"/>
      <c r="AU57" s="242" t="s">
        <v>653</v>
      </c>
      <c r="AV57" s="242">
        <v>0</v>
      </c>
      <c r="AW57" s="242">
        <v>0</v>
      </c>
      <c r="AX57" s="242">
        <v>0</v>
      </c>
      <c r="AY57" s="242">
        <v>21</v>
      </c>
      <c r="AZ57" s="242">
        <v>1</v>
      </c>
      <c r="BA57" s="234"/>
      <c r="BB57" s="242" t="s">
        <v>651</v>
      </c>
      <c r="BC57" s="242">
        <v>5544000</v>
      </c>
      <c r="BD57" s="242">
        <v>56</v>
      </c>
      <c r="BE57" s="242">
        <v>1</v>
      </c>
      <c r="BF57" s="242">
        <v>399</v>
      </c>
      <c r="BG57" s="242">
        <v>1</v>
      </c>
      <c r="BH57" s="236" t="s">
        <v>651</v>
      </c>
      <c r="BI57" s="242">
        <v>0</v>
      </c>
      <c r="BJ57" s="242">
        <v>0</v>
      </c>
      <c r="BK57" s="242">
        <v>0</v>
      </c>
      <c r="BL57" s="242">
        <v>11</v>
      </c>
      <c r="BM57" s="242">
        <v>1</v>
      </c>
      <c r="BN57" s="242"/>
      <c r="BO57" s="236"/>
      <c r="BP57" s="252"/>
      <c r="BQ57" s="252"/>
      <c r="BR57" s="252"/>
    </row>
    <row r="58" spans="1:70" x14ac:dyDescent="0.25">
      <c r="B58" s="181" t="s">
        <v>568</v>
      </c>
      <c r="C58" s="184">
        <v>44487</v>
      </c>
      <c r="D58" s="181">
        <v>189.17597325</v>
      </c>
      <c r="E58" s="212">
        <v>1</v>
      </c>
      <c r="F58" s="207"/>
      <c r="G58" s="212" t="s">
        <v>286</v>
      </c>
      <c r="H58" s="212">
        <v>3128.0176209299998</v>
      </c>
      <c r="I58" s="158"/>
      <c r="J58" s="152"/>
      <c r="K58" s="217"/>
      <c r="L58" s="217"/>
      <c r="M58" s="217"/>
      <c r="O58" s="230" t="s">
        <v>286</v>
      </c>
      <c r="P58" s="230">
        <v>3089.9196333199998</v>
      </c>
      <c r="Q58" s="228"/>
      <c r="S58" s="234"/>
      <c r="T58" s="234"/>
      <c r="U58" s="234"/>
      <c r="V58" s="234"/>
      <c r="W58" s="234"/>
      <c r="X58" s="234"/>
      <c r="Y58" s="234"/>
      <c r="Z58" s="242" t="s">
        <v>663</v>
      </c>
      <c r="AA58" s="242">
        <v>7598047.8200000003</v>
      </c>
      <c r="AB58" s="242">
        <v>703</v>
      </c>
      <c r="AC58" s="242">
        <v>44</v>
      </c>
      <c r="AD58" s="242">
        <v>19240</v>
      </c>
      <c r="AE58" s="242">
        <v>0</v>
      </c>
      <c r="AF58" s="242"/>
      <c r="AG58" s="242" t="s">
        <v>656</v>
      </c>
      <c r="AH58" s="242">
        <v>0</v>
      </c>
      <c r="AI58" s="242">
        <v>0</v>
      </c>
      <c r="AJ58" s="242">
        <v>0</v>
      </c>
      <c r="AK58" s="242">
        <v>92</v>
      </c>
      <c r="AL58" s="242">
        <v>1</v>
      </c>
      <c r="AM58" s="234"/>
      <c r="AN58" s="242" t="s">
        <v>650</v>
      </c>
      <c r="AO58" s="242">
        <v>0</v>
      </c>
      <c r="AP58" s="242">
        <v>0</v>
      </c>
      <c r="AQ58" s="242">
        <v>0</v>
      </c>
      <c r="AR58" s="242">
        <v>0</v>
      </c>
      <c r="AS58" s="242">
        <v>1</v>
      </c>
      <c r="AT58" s="234"/>
      <c r="AU58" s="242" t="s">
        <v>654</v>
      </c>
      <c r="AV58" s="242">
        <v>294620</v>
      </c>
      <c r="AW58" s="242">
        <v>1</v>
      </c>
      <c r="AX58" s="242">
        <v>1</v>
      </c>
      <c r="AY58" s="242">
        <v>13</v>
      </c>
      <c r="AZ58" s="242">
        <v>1</v>
      </c>
      <c r="BA58" s="234"/>
      <c r="BB58" s="242" t="s">
        <v>652</v>
      </c>
      <c r="BC58" s="242">
        <v>10908000</v>
      </c>
      <c r="BD58" s="242">
        <v>93</v>
      </c>
      <c r="BE58" s="242">
        <v>9</v>
      </c>
      <c r="BF58" s="242">
        <v>924</v>
      </c>
      <c r="BG58" s="242">
        <v>1</v>
      </c>
      <c r="BH58" s="236" t="s">
        <v>652</v>
      </c>
      <c r="BI58" s="242">
        <v>0</v>
      </c>
      <c r="BJ58" s="242">
        <v>0</v>
      </c>
      <c r="BK58" s="242">
        <v>0</v>
      </c>
      <c r="BL58" s="242">
        <v>44</v>
      </c>
      <c r="BM58" s="242">
        <v>1</v>
      </c>
      <c r="BN58" s="242"/>
      <c r="BO58" s="236"/>
      <c r="BP58" s="252"/>
      <c r="BQ58" s="252"/>
      <c r="BR58" s="252"/>
    </row>
    <row r="59" spans="1:70" x14ac:dyDescent="0.25">
      <c r="B59" s="181" t="s">
        <v>337</v>
      </c>
      <c r="C59" s="184">
        <v>43220</v>
      </c>
      <c r="D59" s="181">
        <v>34255.11</v>
      </c>
      <c r="E59" s="212">
        <v>1</v>
      </c>
      <c r="F59" s="198"/>
      <c r="G59" s="212" t="s">
        <v>59</v>
      </c>
      <c r="H59" s="212">
        <v>12611.81910495</v>
      </c>
      <c r="I59" s="158"/>
      <c r="J59" s="152"/>
      <c r="K59" s="217"/>
      <c r="L59" s="217"/>
      <c r="M59" s="217"/>
      <c r="O59" s="230" t="s">
        <v>59</v>
      </c>
      <c r="P59" s="230">
        <v>12090.82346519</v>
      </c>
      <c r="Q59" s="228"/>
      <c r="S59" s="234"/>
      <c r="T59" s="234"/>
      <c r="U59" s="234"/>
      <c r="V59" s="234"/>
      <c r="W59" s="234"/>
      <c r="X59" s="234"/>
      <c r="Y59" s="234"/>
      <c r="Z59" s="242" t="s">
        <v>663</v>
      </c>
      <c r="AA59" s="242">
        <v>6757689523.085</v>
      </c>
      <c r="AB59" s="242">
        <v>17800</v>
      </c>
      <c r="AC59" s="242">
        <v>2422</v>
      </c>
      <c r="AD59" s="242">
        <v>208033</v>
      </c>
      <c r="AE59" s="242">
        <v>1</v>
      </c>
      <c r="AF59" s="242"/>
      <c r="AG59" s="242" t="s">
        <v>657</v>
      </c>
      <c r="AH59" s="242">
        <v>0</v>
      </c>
      <c r="AI59" s="242">
        <v>0</v>
      </c>
      <c r="AJ59" s="242">
        <v>0</v>
      </c>
      <c r="AK59" s="242">
        <v>24</v>
      </c>
      <c r="AL59" s="242">
        <v>1</v>
      </c>
      <c r="AM59" s="234"/>
      <c r="AN59" s="242" t="s">
        <v>651</v>
      </c>
      <c r="AO59" s="242">
        <v>0</v>
      </c>
      <c r="AP59" s="242">
        <v>0</v>
      </c>
      <c r="AQ59" s="242">
        <v>0</v>
      </c>
      <c r="AR59" s="242">
        <v>1617</v>
      </c>
      <c r="AS59" s="242">
        <v>1</v>
      </c>
      <c r="AT59" s="234"/>
      <c r="AU59" s="242" t="s">
        <v>655</v>
      </c>
      <c r="AV59" s="242">
        <v>0</v>
      </c>
      <c r="AW59" s="242">
        <v>0</v>
      </c>
      <c r="AX59" s="242">
        <v>0</v>
      </c>
      <c r="AY59" s="242">
        <v>0</v>
      </c>
      <c r="AZ59" s="242">
        <v>1</v>
      </c>
      <c r="BA59" s="234"/>
      <c r="BB59" s="242" t="s">
        <v>653</v>
      </c>
      <c r="BC59" s="242">
        <v>247400</v>
      </c>
      <c r="BD59" s="242">
        <v>10</v>
      </c>
      <c r="BE59" s="242">
        <v>6</v>
      </c>
      <c r="BF59" s="242">
        <v>202</v>
      </c>
      <c r="BG59" s="242">
        <v>1</v>
      </c>
      <c r="BH59" s="236" t="s">
        <v>653</v>
      </c>
      <c r="BI59" s="242">
        <v>0</v>
      </c>
      <c r="BJ59" s="242">
        <v>0</v>
      </c>
      <c r="BK59" s="242">
        <v>0</v>
      </c>
      <c r="BL59" s="242">
        <v>13</v>
      </c>
      <c r="BM59" s="242">
        <v>1</v>
      </c>
      <c r="BN59" s="242"/>
      <c r="BO59" s="245" t="s">
        <v>442</v>
      </c>
      <c r="BP59" s="253" t="s">
        <v>523</v>
      </c>
      <c r="BQ59" s="253" t="s">
        <v>630</v>
      </c>
      <c r="BR59" s="253" t="s">
        <v>631</v>
      </c>
    </row>
    <row r="60" spans="1:70" x14ac:dyDescent="0.25">
      <c r="B60" s="181" t="s">
        <v>340</v>
      </c>
      <c r="C60" s="184">
        <v>42655</v>
      </c>
      <c r="D60" s="181">
        <v>9116.6</v>
      </c>
      <c r="E60" s="212">
        <v>1</v>
      </c>
      <c r="F60" s="198"/>
      <c r="G60" s="212" t="s">
        <v>52</v>
      </c>
      <c r="H60" s="212">
        <v>14071.669214609999</v>
      </c>
      <c r="I60" s="158"/>
      <c r="J60" s="152"/>
      <c r="K60" s="217"/>
      <c r="L60" s="217"/>
      <c r="M60" s="217"/>
      <c r="O60" s="230" t="s">
        <v>52</v>
      </c>
      <c r="P60" s="230">
        <v>13488.56165422</v>
      </c>
      <c r="Q60" s="228"/>
      <c r="S60" s="243"/>
      <c r="T60" s="246"/>
      <c r="U60" s="246"/>
      <c r="V60" s="246"/>
      <c r="W60" s="246"/>
      <c r="X60" s="246"/>
      <c r="Y60" s="234"/>
      <c r="Z60" s="242" t="s">
        <v>664</v>
      </c>
      <c r="AA60" s="242">
        <v>0</v>
      </c>
      <c r="AB60" s="242">
        <v>0</v>
      </c>
      <c r="AC60" s="242">
        <v>0</v>
      </c>
      <c r="AD60" s="242">
        <v>0</v>
      </c>
      <c r="AE60" s="242">
        <v>0</v>
      </c>
      <c r="AF60" s="242"/>
      <c r="AG60" s="242" t="s">
        <v>658</v>
      </c>
      <c r="AH60" s="242">
        <v>0</v>
      </c>
      <c r="AI60" s="242">
        <v>0</v>
      </c>
      <c r="AJ60" s="242">
        <v>0</v>
      </c>
      <c r="AK60" s="242">
        <v>0</v>
      </c>
      <c r="AL60" s="242">
        <v>1</v>
      </c>
      <c r="AM60" s="234"/>
      <c r="AN60" s="242" t="s">
        <v>652</v>
      </c>
      <c r="AO60" s="242">
        <v>14964000</v>
      </c>
      <c r="AP60" s="242">
        <v>129</v>
      </c>
      <c r="AQ60" s="242">
        <v>10</v>
      </c>
      <c r="AR60" s="242">
        <v>6572</v>
      </c>
      <c r="AS60" s="242">
        <v>1</v>
      </c>
      <c r="AT60" s="234"/>
      <c r="AU60" s="242" t="s">
        <v>656</v>
      </c>
      <c r="AV60" s="242">
        <v>0</v>
      </c>
      <c r="AW60" s="242">
        <v>0</v>
      </c>
      <c r="AX60" s="242">
        <v>0</v>
      </c>
      <c r="AY60" s="242">
        <v>131</v>
      </c>
      <c r="AZ60" s="242">
        <v>1</v>
      </c>
      <c r="BA60" s="234"/>
      <c r="BB60" s="242" t="s">
        <v>654</v>
      </c>
      <c r="BC60" s="242">
        <v>33751599.982000001</v>
      </c>
      <c r="BD60" s="242">
        <v>97</v>
      </c>
      <c r="BE60" s="242">
        <v>9</v>
      </c>
      <c r="BF60" s="242">
        <v>2244</v>
      </c>
      <c r="BG60" s="242">
        <v>1</v>
      </c>
      <c r="BH60" s="236" t="s">
        <v>654</v>
      </c>
      <c r="BI60" s="242">
        <v>0</v>
      </c>
      <c r="BJ60" s="242">
        <v>0</v>
      </c>
      <c r="BK60" s="242">
        <v>0</v>
      </c>
      <c r="BL60" s="242">
        <v>106</v>
      </c>
      <c r="BM60" s="242">
        <v>1</v>
      </c>
      <c r="BN60" s="242"/>
      <c r="BO60" s="236"/>
      <c r="BP60" s="252"/>
      <c r="BQ60" s="252"/>
      <c r="BR60" s="252"/>
    </row>
    <row r="61" spans="1:70" x14ac:dyDescent="0.25">
      <c r="A61" s="35"/>
      <c r="B61" s="181" t="s">
        <v>342</v>
      </c>
      <c r="C61" s="184">
        <v>42122</v>
      </c>
      <c r="D61" s="181">
        <v>15553.66</v>
      </c>
      <c r="E61" s="212">
        <v>1</v>
      </c>
      <c r="F61" s="201"/>
      <c r="G61" s="212" t="s">
        <v>535</v>
      </c>
      <c r="H61" s="212">
        <v>19482.633477759999</v>
      </c>
      <c r="I61" s="158"/>
      <c r="J61" s="152"/>
      <c r="K61" s="217"/>
      <c r="L61" s="217"/>
      <c r="M61" s="217"/>
      <c r="O61" s="230" t="s">
        <v>535</v>
      </c>
      <c r="P61" s="230">
        <v>18611.201248040001</v>
      </c>
      <c r="Q61" s="228"/>
      <c r="R61" s="152"/>
      <c r="S61" s="242"/>
      <c r="T61" s="247"/>
      <c r="U61" s="247"/>
      <c r="V61" s="247"/>
      <c r="W61" s="247"/>
      <c r="X61" s="247"/>
      <c r="Y61" s="234"/>
      <c r="Z61" s="242" t="s">
        <v>664</v>
      </c>
      <c r="AA61" s="242">
        <v>265791594.94</v>
      </c>
      <c r="AB61" s="242">
        <v>346</v>
      </c>
      <c r="AC61" s="242">
        <v>91</v>
      </c>
      <c r="AD61" s="242">
        <v>6299</v>
      </c>
      <c r="AE61" s="242">
        <v>1</v>
      </c>
      <c r="AF61" s="242"/>
      <c r="AG61" s="242" t="s">
        <v>659</v>
      </c>
      <c r="AH61" s="242">
        <v>0</v>
      </c>
      <c r="AI61" s="242">
        <v>0</v>
      </c>
      <c r="AJ61" s="242">
        <v>0</v>
      </c>
      <c r="AK61" s="242">
        <v>0</v>
      </c>
      <c r="AL61" s="242">
        <v>1</v>
      </c>
      <c r="AM61" s="234"/>
      <c r="AN61" s="242" t="s">
        <v>653</v>
      </c>
      <c r="AO61" s="242">
        <v>482000</v>
      </c>
      <c r="AP61" s="242">
        <v>10</v>
      </c>
      <c r="AQ61" s="242">
        <v>5</v>
      </c>
      <c r="AR61" s="242">
        <v>391</v>
      </c>
      <c r="AS61" s="242">
        <v>1</v>
      </c>
      <c r="AT61" s="234"/>
      <c r="AU61" s="242" t="s">
        <v>657</v>
      </c>
      <c r="AV61" s="242">
        <v>189400</v>
      </c>
      <c r="AW61" s="242">
        <v>2</v>
      </c>
      <c r="AX61" s="242">
        <v>1</v>
      </c>
      <c r="AY61" s="242">
        <v>27</v>
      </c>
      <c r="AZ61" s="242">
        <v>1</v>
      </c>
      <c r="BA61" s="234"/>
      <c r="BB61" s="242" t="s">
        <v>655</v>
      </c>
      <c r="BC61" s="242">
        <v>9746560</v>
      </c>
      <c r="BD61" s="242">
        <v>42</v>
      </c>
      <c r="BE61" s="242">
        <v>6</v>
      </c>
      <c r="BF61" s="242">
        <v>76</v>
      </c>
      <c r="BG61" s="242">
        <v>1</v>
      </c>
      <c r="BH61" s="236" t="s">
        <v>655</v>
      </c>
      <c r="BI61" s="242">
        <v>0</v>
      </c>
      <c r="BJ61" s="242">
        <v>0</v>
      </c>
      <c r="BK61" s="242">
        <v>0</v>
      </c>
      <c r="BL61" s="242">
        <v>0</v>
      </c>
      <c r="BM61" s="242">
        <v>1</v>
      </c>
      <c r="BN61" s="242"/>
      <c r="BO61" s="236"/>
      <c r="BP61" s="236"/>
      <c r="BQ61" s="236"/>
      <c r="BR61" s="236"/>
    </row>
    <row r="62" spans="1:70" x14ac:dyDescent="0.25">
      <c r="A62" s="14"/>
      <c r="B62" s="181" t="s">
        <v>357</v>
      </c>
      <c r="C62" s="184">
        <v>43060</v>
      </c>
      <c r="D62" s="181">
        <v>47173.61</v>
      </c>
      <c r="E62" s="212">
        <v>1</v>
      </c>
      <c r="F62" s="201"/>
      <c r="G62" s="212" t="s">
        <v>536</v>
      </c>
      <c r="H62" s="212">
        <v>20684.97578207</v>
      </c>
      <c r="I62" s="158"/>
      <c r="J62" s="152"/>
      <c r="K62" s="217"/>
      <c r="L62" s="217"/>
      <c r="M62" s="217"/>
      <c r="O62" s="230" t="s">
        <v>536</v>
      </c>
      <c r="P62" s="230">
        <v>19785.17805599</v>
      </c>
      <c r="Q62" s="228"/>
      <c r="R62" s="152"/>
      <c r="S62" s="242"/>
      <c r="T62" s="247"/>
      <c r="U62" s="247"/>
      <c r="V62" s="247"/>
      <c r="W62" s="247"/>
      <c r="X62" s="247"/>
      <c r="Y62" s="234"/>
      <c r="Z62" s="242" t="s">
        <v>665</v>
      </c>
      <c r="AA62" s="242">
        <v>0</v>
      </c>
      <c r="AB62" s="242">
        <v>0</v>
      </c>
      <c r="AC62" s="242">
        <v>0</v>
      </c>
      <c r="AD62" s="242">
        <v>0</v>
      </c>
      <c r="AE62" s="242">
        <v>0</v>
      </c>
      <c r="AF62" s="242"/>
      <c r="AG62" s="242" t="s">
        <v>660</v>
      </c>
      <c r="AH62" s="242">
        <v>0</v>
      </c>
      <c r="AI62" s="242">
        <v>0</v>
      </c>
      <c r="AJ62" s="242">
        <v>0</v>
      </c>
      <c r="AK62" s="242">
        <v>96</v>
      </c>
      <c r="AL62" s="242">
        <v>1</v>
      </c>
      <c r="AM62" s="234"/>
      <c r="AN62" s="242" t="s">
        <v>654</v>
      </c>
      <c r="AO62" s="242">
        <v>6203010</v>
      </c>
      <c r="AP62" s="242">
        <v>20</v>
      </c>
      <c r="AQ62" s="242">
        <v>4</v>
      </c>
      <c r="AR62" s="242">
        <v>234</v>
      </c>
      <c r="AS62" s="242">
        <v>1</v>
      </c>
      <c r="AT62" s="234"/>
      <c r="AU62" s="242" t="s">
        <v>658</v>
      </c>
      <c r="AV62" s="242">
        <v>0</v>
      </c>
      <c r="AW62" s="242">
        <v>0</v>
      </c>
      <c r="AX62" s="242">
        <v>0</v>
      </c>
      <c r="AY62" s="242">
        <v>0</v>
      </c>
      <c r="AZ62" s="242">
        <v>1</v>
      </c>
      <c r="BA62" s="234"/>
      <c r="BB62" s="242" t="s">
        <v>656</v>
      </c>
      <c r="BC62" s="242">
        <v>38893301.699000001</v>
      </c>
      <c r="BD62" s="242">
        <v>246</v>
      </c>
      <c r="BE62" s="242">
        <v>20</v>
      </c>
      <c r="BF62" s="242">
        <v>2148</v>
      </c>
      <c r="BG62" s="242">
        <v>1</v>
      </c>
      <c r="BH62" s="236" t="s">
        <v>656</v>
      </c>
      <c r="BI62" s="242">
        <v>0</v>
      </c>
      <c r="BJ62" s="242">
        <v>0</v>
      </c>
      <c r="BK62" s="242">
        <v>0</v>
      </c>
      <c r="BL62" s="242">
        <v>100</v>
      </c>
      <c r="BM62" s="242">
        <v>1</v>
      </c>
      <c r="BN62" s="242"/>
      <c r="BO62" s="245" t="s">
        <v>457</v>
      </c>
      <c r="BP62" s="253" t="s">
        <v>523</v>
      </c>
      <c r="BQ62" s="253" t="s">
        <v>630</v>
      </c>
      <c r="BR62" s="253" t="s">
        <v>631</v>
      </c>
    </row>
    <row r="63" spans="1:70" x14ac:dyDescent="0.25">
      <c r="A63" s="14"/>
      <c r="B63" s="181" t="s">
        <v>362</v>
      </c>
      <c r="C63" s="184">
        <v>44246</v>
      </c>
      <c r="D63" s="181">
        <v>24260.82</v>
      </c>
      <c r="E63" s="212">
        <v>1</v>
      </c>
      <c r="F63" s="201"/>
      <c r="G63" s="212" t="s">
        <v>289</v>
      </c>
      <c r="H63" s="212">
        <v>5060.2194259099997</v>
      </c>
      <c r="I63" s="158"/>
      <c r="J63" s="152"/>
      <c r="K63" s="217"/>
      <c r="L63" s="217"/>
      <c r="M63" s="217"/>
      <c r="O63" s="230" t="s">
        <v>289</v>
      </c>
      <c r="P63" s="230">
        <v>4667.5936844300004</v>
      </c>
      <c r="Q63" s="228"/>
      <c r="R63" s="148" t="s">
        <v>423</v>
      </c>
      <c r="S63" s="242"/>
      <c r="T63" s="247"/>
      <c r="U63" s="247"/>
      <c r="V63" s="247"/>
      <c r="W63" s="247"/>
      <c r="X63" s="247"/>
      <c r="Y63" s="234"/>
      <c r="Z63" s="242" t="s">
        <v>665</v>
      </c>
      <c r="AA63" s="242">
        <v>23167816</v>
      </c>
      <c r="AB63" s="242">
        <v>36</v>
      </c>
      <c r="AC63" s="242">
        <v>5</v>
      </c>
      <c r="AD63" s="242">
        <v>1354</v>
      </c>
      <c r="AE63" s="242">
        <v>1</v>
      </c>
      <c r="AF63" s="242"/>
      <c r="AG63" s="242" t="s">
        <v>661</v>
      </c>
      <c r="AH63" s="242">
        <v>0</v>
      </c>
      <c r="AI63" s="242">
        <v>0</v>
      </c>
      <c r="AJ63" s="242">
        <v>0</v>
      </c>
      <c r="AK63" s="242">
        <v>73</v>
      </c>
      <c r="AL63" s="242">
        <v>1</v>
      </c>
      <c r="AM63" s="234"/>
      <c r="AN63" s="242" t="s">
        <v>655</v>
      </c>
      <c r="AO63" s="242">
        <v>3855285</v>
      </c>
      <c r="AP63" s="242">
        <v>18</v>
      </c>
      <c r="AQ63" s="242">
        <v>3</v>
      </c>
      <c r="AR63" s="242">
        <v>162</v>
      </c>
      <c r="AS63" s="242">
        <v>1</v>
      </c>
      <c r="AT63" s="234"/>
      <c r="AU63" s="242" t="s">
        <v>659</v>
      </c>
      <c r="AV63" s="242">
        <v>0</v>
      </c>
      <c r="AW63" s="242">
        <v>0</v>
      </c>
      <c r="AX63" s="242">
        <v>0</v>
      </c>
      <c r="AY63" s="242">
        <v>0</v>
      </c>
      <c r="AZ63" s="242">
        <v>1</v>
      </c>
      <c r="BA63" s="234"/>
      <c r="BB63" s="242" t="s">
        <v>657</v>
      </c>
      <c r="BC63" s="242">
        <v>13723779.960000001</v>
      </c>
      <c r="BD63" s="242">
        <v>132</v>
      </c>
      <c r="BE63" s="242">
        <v>51</v>
      </c>
      <c r="BF63" s="242">
        <v>2837</v>
      </c>
      <c r="BG63" s="242">
        <v>1</v>
      </c>
      <c r="BH63" s="236" t="s">
        <v>657</v>
      </c>
      <c r="BI63" s="242">
        <v>0</v>
      </c>
      <c r="BJ63" s="242">
        <v>0</v>
      </c>
      <c r="BK63" s="242">
        <v>0</v>
      </c>
      <c r="BL63" s="242">
        <v>157</v>
      </c>
      <c r="BM63" s="242">
        <v>1</v>
      </c>
      <c r="BN63" s="242"/>
      <c r="BO63" s="240"/>
      <c r="BP63" s="252"/>
      <c r="BQ63" s="252"/>
      <c r="BR63" s="252"/>
    </row>
    <row r="64" spans="1:70" x14ac:dyDescent="0.25">
      <c r="A64" s="14"/>
      <c r="B64" s="181" t="s">
        <v>363</v>
      </c>
      <c r="C64" s="184">
        <v>43165</v>
      </c>
      <c r="D64" s="181">
        <v>15739.25</v>
      </c>
      <c r="E64" s="212">
        <v>1</v>
      </c>
      <c r="F64" s="201"/>
      <c r="G64" s="212" t="s">
        <v>78</v>
      </c>
      <c r="H64" s="212">
        <v>37710.29522701</v>
      </c>
      <c r="I64" s="158"/>
      <c r="J64" s="3"/>
      <c r="K64" s="217"/>
      <c r="L64" s="217"/>
      <c r="M64" s="217"/>
      <c r="O64" s="230" t="s">
        <v>78</v>
      </c>
      <c r="P64" s="230">
        <v>34908.016615820001</v>
      </c>
      <c r="Q64" s="228"/>
      <c r="R64" s="152"/>
      <c r="S64" s="242"/>
      <c r="T64" s="247"/>
      <c r="U64" s="247"/>
      <c r="V64" s="247"/>
      <c r="W64" s="247"/>
      <c r="X64" s="247"/>
      <c r="Y64" s="234"/>
      <c r="Z64" s="242" t="s">
        <v>666</v>
      </c>
      <c r="AA64" s="242">
        <v>0</v>
      </c>
      <c r="AB64" s="242">
        <v>0</v>
      </c>
      <c r="AC64" s="242">
        <v>0</v>
      </c>
      <c r="AD64" s="242">
        <v>0</v>
      </c>
      <c r="AE64" s="242">
        <v>0</v>
      </c>
      <c r="AF64" s="242"/>
      <c r="AG64" s="242" t="s">
        <v>662</v>
      </c>
      <c r="AH64" s="242">
        <v>0</v>
      </c>
      <c r="AI64" s="242">
        <v>0</v>
      </c>
      <c r="AJ64" s="242">
        <v>0</v>
      </c>
      <c r="AK64" s="242">
        <v>124</v>
      </c>
      <c r="AL64" s="242">
        <v>1</v>
      </c>
      <c r="AM64" s="234"/>
      <c r="AN64" s="242" t="s">
        <v>656</v>
      </c>
      <c r="AO64" s="242">
        <v>34569740.009999998</v>
      </c>
      <c r="AP64" s="242">
        <v>215</v>
      </c>
      <c r="AQ64" s="242">
        <v>12</v>
      </c>
      <c r="AR64" s="242">
        <v>2584</v>
      </c>
      <c r="AS64" s="242">
        <v>1</v>
      </c>
      <c r="AT64" s="234"/>
      <c r="AU64" s="242" t="s">
        <v>660</v>
      </c>
      <c r="AV64" s="242">
        <v>186000</v>
      </c>
      <c r="AW64" s="242">
        <v>1</v>
      </c>
      <c r="AX64" s="242">
        <v>1</v>
      </c>
      <c r="AY64" s="242">
        <v>95</v>
      </c>
      <c r="AZ64" s="242">
        <v>1</v>
      </c>
      <c r="BA64" s="234"/>
      <c r="BB64" s="242" t="s">
        <v>660</v>
      </c>
      <c r="BC64" s="242">
        <v>43015749.700000003</v>
      </c>
      <c r="BD64" s="242">
        <v>229</v>
      </c>
      <c r="BE64" s="242">
        <v>48</v>
      </c>
      <c r="BF64" s="242">
        <v>1950</v>
      </c>
      <c r="BG64" s="242">
        <v>1</v>
      </c>
      <c r="BH64" s="236" t="s">
        <v>660</v>
      </c>
      <c r="BI64" s="242">
        <v>0</v>
      </c>
      <c r="BJ64" s="242">
        <v>0</v>
      </c>
      <c r="BK64" s="242">
        <v>0</v>
      </c>
      <c r="BL64" s="242">
        <v>124</v>
      </c>
      <c r="BM64" s="242">
        <v>1</v>
      </c>
      <c r="BN64" s="242"/>
      <c r="BO64" s="236"/>
      <c r="BP64" s="236"/>
      <c r="BQ64" s="236"/>
      <c r="BR64" s="236"/>
    </row>
    <row r="65" spans="1:70" x14ac:dyDescent="0.25">
      <c r="A65" s="14"/>
      <c r="B65" s="181" t="s">
        <v>585</v>
      </c>
      <c r="C65" s="184">
        <v>44287</v>
      </c>
      <c r="D65" s="181">
        <v>19454.349999999999</v>
      </c>
      <c r="E65" s="212">
        <v>1</v>
      </c>
      <c r="F65" s="201"/>
      <c r="G65" s="212" t="s">
        <v>294</v>
      </c>
      <c r="H65" s="212">
        <v>8475.1217774199995</v>
      </c>
      <c r="I65" s="158"/>
      <c r="J65" s="3"/>
      <c r="K65" s="217"/>
      <c r="L65" s="217"/>
      <c r="M65" s="217"/>
      <c r="O65" s="230" t="s">
        <v>294</v>
      </c>
      <c r="P65" s="230">
        <v>8222.5112183199999</v>
      </c>
      <c r="Q65" s="228"/>
      <c r="R65" s="152"/>
      <c r="S65" s="242"/>
      <c r="T65" s="247"/>
      <c r="U65" s="247"/>
      <c r="V65" s="247"/>
      <c r="W65" s="247"/>
      <c r="X65" s="247"/>
      <c r="Y65" s="234"/>
      <c r="Z65" s="242" t="s">
        <v>666</v>
      </c>
      <c r="AA65" s="242">
        <v>18918365.5</v>
      </c>
      <c r="AB65" s="242">
        <v>38</v>
      </c>
      <c r="AC65" s="242">
        <v>6</v>
      </c>
      <c r="AD65" s="242">
        <v>396</v>
      </c>
      <c r="AE65" s="242">
        <v>1</v>
      </c>
      <c r="AF65" s="242"/>
      <c r="AG65" s="242" t="s">
        <v>663</v>
      </c>
      <c r="AH65" s="242">
        <v>61935124.990000002</v>
      </c>
      <c r="AI65" s="242">
        <v>157</v>
      </c>
      <c r="AJ65" s="242">
        <v>54</v>
      </c>
      <c r="AK65" s="242">
        <v>9082</v>
      </c>
      <c r="AL65" s="242">
        <v>1</v>
      </c>
      <c r="AM65" s="234"/>
      <c r="AN65" s="242" t="s">
        <v>657</v>
      </c>
      <c r="AO65" s="242">
        <v>6788250</v>
      </c>
      <c r="AP65" s="242">
        <v>64</v>
      </c>
      <c r="AQ65" s="242">
        <v>19</v>
      </c>
      <c r="AR65" s="242">
        <v>693</v>
      </c>
      <c r="AS65" s="242">
        <v>1</v>
      </c>
      <c r="AT65" s="234"/>
      <c r="AU65" s="242" t="s">
        <v>661</v>
      </c>
      <c r="AV65" s="242">
        <v>806600</v>
      </c>
      <c r="AW65" s="242">
        <v>7</v>
      </c>
      <c r="AX65" s="242">
        <v>5</v>
      </c>
      <c r="AY65" s="242">
        <v>99</v>
      </c>
      <c r="AZ65" s="242">
        <v>1</v>
      </c>
      <c r="BA65" s="234"/>
      <c r="BB65" s="242" t="s">
        <v>661</v>
      </c>
      <c r="BC65" s="242">
        <v>10400974</v>
      </c>
      <c r="BD65" s="242">
        <v>80</v>
      </c>
      <c r="BE65" s="242">
        <v>36</v>
      </c>
      <c r="BF65" s="242">
        <v>2442</v>
      </c>
      <c r="BG65" s="242">
        <v>1</v>
      </c>
      <c r="BH65" s="236" t="s">
        <v>661</v>
      </c>
      <c r="BI65" s="242">
        <v>0</v>
      </c>
      <c r="BJ65" s="242">
        <v>0</v>
      </c>
      <c r="BK65" s="242">
        <v>0</v>
      </c>
      <c r="BL65" s="242">
        <v>142</v>
      </c>
      <c r="BM65" s="242">
        <v>1</v>
      </c>
      <c r="BN65" s="242"/>
      <c r="BO65" s="245" t="s">
        <v>443</v>
      </c>
      <c r="BP65" s="253" t="s">
        <v>523</v>
      </c>
      <c r="BQ65" s="253" t="s">
        <v>630</v>
      </c>
      <c r="BR65" s="253" t="s">
        <v>631</v>
      </c>
    </row>
    <row r="66" spans="1:70" x14ac:dyDescent="0.25">
      <c r="A66" s="83"/>
      <c r="B66" s="181" t="s">
        <v>586</v>
      </c>
      <c r="C66" s="184">
        <v>44560</v>
      </c>
      <c r="D66" s="181">
        <v>9825.84</v>
      </c>
      <c r="E66" s="212">
        <v>1</v>
      </c>
      <c r="F66" s="209"/>
      <c r="G66" s="212" t="s">
        <v>537</v>
      </c>
      <c r="H66" s="212">
        <v>7861.2125256700001</v>
      </c>
      <c r="I66" s="158"/>
      <c r="J66" s="3"/>
      <c r="K66" s="217"/>
      <c r="L66" s="217"/>
      <c r="M66" s="217"/>
      <c r="O66" s="230" t="s">
        <v>537</v>
      </c>
      <c r="P66" s="230">
        <v>7533.2825737900002</v>
      </c>
      <c r="Q66" s="228"/>
      <c r="R66" s="152"/>
      <c r="S66" s="242"/>
      <c r="T66" s="247"/>
      <c r="U66" s="247"/>
      <c r="V66" s="247"/>
      <c r="W66" s="247"/>
      <c r="X66" s="247"/>
      <c r="Y66" s="234"/>
      <c r="Z66" s="242" t="s">
        <v>667</v>
      </c>
      <c r="AA66" s="242">
        <v>0</v>
      </c>
      <c r="AB66" s="242">
        <v>0</v>
      </c>
      <c r="AC66" s="242">
        <v>0</v>
      </c>
      <c r="AD66" s="242">
        <v>0</v>
      </c>
      <c r="AE66" s="242">
        <v>0</v>
      </c>
      <c r="AF66" s="242"/>
      <c r="AG66" s="242" t="s">
        <v>664</v>
      </c>
      <c r="AH66" s="242">
        <v>8806810</v>
      </c>
      <c r="AI66" s="242">
        <v>11</v>
      </c>
      <c r="AJ66" s="242">
        <v>4</v>
      </c>
      <c r="AK66" s="242">
        <v>290</v>
      </c>
      <c r="AL66" s="242">
        <v>1</v>
      </c>
      <c r="AM66" s="234"/>
      <c r="AN66" s="242" t="s">
        <v>658</v>
      </c>
      <c r="AO66" s="242">
        <v>0</v>
      </c>
      <c r="AP66" s="242">
        <v>0</v>
      </c>
      <c r="AQ66" s="242">
        <v>0</v>
      </c>
      <c r="AR66" s="242">
        <v>0</v>
      </c>
      <c r="AS66" s="242">
        <v>1</v>
      </c>
      <c r="AT66" s="234"/>
      <c r="AU66" s="242" t="s">
        <v>662</v>
      </c>
      <c r="AV66" s="242">
        <v>8088949.9950000001</v>
      </c>
      <c r="AW66" s="242">
        <v>33</v>
      </c>
      <c r="AX66" s="242">
        <v>5</v>
      </c>
      <c r="AY66" s="242">
        <v>104</v>
      </c>
      <c r="AZ66" s="242">
        <v>1</v>
      </c>
      <c r="BA66" s="234"/>
      <c r="BB66" s="242" t="s">
        <v>662</v>
      </c>
      <c r="BC66" s="242">
        <v>9848924.0199999996</v>
      </c>
      <c r="BD66" s="242">
        <v>59</v>
      </c>
      <c r="BE66" s="242">
        <v>22</v>
      </c>
      <c r="BF66" s="242">
        <v>391</v>
      </c>
      <c r="BG66" s="242">
        <v>1</v>
      </c>
      <c r="BH66" s="236" t="s">
        <v>662</v>
      </c>
      <c r="BI66" s="242">
        <v>2248650</v>
      </c>
      <c r="BJ66" s="242">
        <v>13</v>
      </c>
      <c r="BK66" s="242">
        <v>2</v>
      </c>
      <c r="BL66" s="242">
        <v>28</v>
      </c>
      <c r="BM66" s="242">
        <v>1</v>
      </c>
      <c r="BN66" s="242"/>
      <c r="BO66" s="236"/>
      <c r="BP66" s="252">
        <v>0</v>
      </c>
      <c r="BQ66" s="252">
        <v>0</v>
      </c>
      <c r="BR66" s="252">
        <v>0</v>
      </c>
    </row>
    <row r="67" spans="1:70" x14ac:dyDescent="0.25">
      <c r="A67" s="83"/>
      <c r="B67" s="181" t="s">
        <v>589</v>
      </c>
      <c r="C67" s="184">
        <v>44560</v>
      </c>
      <c r="D67" s="181">
        <v>11856.85</v>
      </c>
      <c r="E67" s="212">
        <v>1</v>
      </c>
      <c r="F67" s="202"/>
      <c r="G67" s="212" t="s">
        <v>538</v>
      </c>
      <c r="H67" s="212">
        <v>8734.2523436200008</v>
      </c>
      <c r="I67" s="158"/>
      <c r="J67" s="3"/>
      <c r="K67" s="217"/>
      <c r="L67" s="217"/>
      <c r="M67" s="217"/>
      <c r="O67" s="230" t="s">
        <v>538</v>
      </c>
      <c r="P67" s="230">
        <v>8275.2256292700004</v>
      </c>
      <c r="Q67" s="228"/>
      <c r="R67" s="152"/>
      <c r="S67" s="242"/>
      <c r="T67" s="247"/>
      <c r="U67" s="247"/>
      <c r="V67" s="247"/>
      <c r="W67" s="247"/>
      <c r="X67" s="247"/>
      <c r="Y67" s="234"/>
      <c r="Z67" s="242" t="s">
        <v>667</v>
      </c>
      <c r="AA67" s="242">
        <v>6236377.5</v>
      </c>
      <c r="AB67" s="242">
        <v>99</v>
      </c>
      <c r="AC67" s="242">
        <v>17</v>
      </c>
      <c r="AD67" s="242">
        <v>2800</v>
      </c>
      <c r="AE67" s="242">
        <v>1</v>
      </c>
      <c r="AF67" s="242"/>
      <c r="AG67" s="242" t="s">
        <v>665</v>
      </c>
      <c r="AH67" s="242">
        <v>0</v>
      </c>
      <c r="AI67" s="242">
        <v>0</v>
      </c>
      <c r="AJ67" s="242">
        <v>0</v>
      </c>
      <c r="AK67" s="242">
        <v>64</v>
      </c>
      <c r="AL67" s="242">
        <v>1</v>
      </c>
      <c r="AM67" s="234"/>
      <c r="AN67" s="242" t="s">
        <v>659</v>
      </c>
      <c r="AO67" s="242">
        <v>1549470</v>
      </c>
      <c r="AP67" s="242">
        <v>3</v>
      </c>
      <c r="AQ67" s="242">
        <v>1</v>
      </c>
      <c r="AR67" s="242">
        <v>57</v>
      </c>
      <c r="AS67" s="242">
        <v>1</v>
      </c>
      <c r="AT67" s="234"/>
      <c r="AU67" s="242" t="s">
        <v>663</v>
      </c>
      <c r="AV67" s="242">
        <v>2172500639.9250002</v>
      </c>
      <c r="AW67" s="242">
        <v>5796</v>
      </c>
      <c r="AX67" s="242">
        <v>217</v>
      </c>
      <c r="AY67" s="242">
        <v>11423</v>
      </c>
      <c r="AZ67" s="242">
        <v>1</v>
      </c>
      <c r="BA67" s="234"/>
      <c r="BB67" s="242" t="s">
        <v>663</v>
      </c>
      <c r="BC67" s="242">
        <v>6198520970.3699999</v>
      </c>
      <c r="BD67" s="242">
        <v>15481</v>
      </c>
      <c r="BE67" s="242">
        <v>2150</v>
      </c>
      <c r="BF67" s="242">
        <v>217877</v>
      </c>
      <c r="BG67" s="242">
        <v>1</v>
      </c>
      <c r="BH67" s="236" t="s">
        <v>663</v>
      </c>
      <c r="BI67" s="242">
        <v>112789217.33499999</v>
      </c>
      <c r="BJ67" s="242">
        <v>282</v>
      </c>
      <c r="BK67" s="242">
        <v>80</v>
      </c>
      <c r="BL67" s="242">
        <v>10143</v>
      </c>
      <c r="BM67" s="242">
        <v>1</v>
      </c>
      <c r="BN67" s="242"/>
      <c r="BO67" s="236"/>
      <c r="BP67" s="236"/>
      <c r="BQ67" s="236"/>
      <c r="BR67" s="236"/>
    </row>
    <row r="68" spans="1:70" x14ac:dyDescent="0.25">
      <c r="A68" s="83"/>
      <c r="B68" s="181" t="s">
        <v>591</v>
      </c>
      <c r="C68" s="184">
        <v>44560</v>
      </c>
      <c r="D68" s="181">
        <v>6919.93</v>
      </c>
      <c r="E68" s="212">
        <v>1</v>
      </c>
      <c r="F68" s="202"/>
      <c r="G68" s="212" t="s">
        <v>539</v>
      </c>
      <c r="H68" s="212">
        <v>6297.9113765399998</v>
      </c>
      <c r="I68" s="158"/>
      <c r="J68" s="3"/>
      <c r="K68" s="217"/>
      <c r="L68" s="217"/>
      <c r="M68" s="217"/>
      <c r="O68" s="230" t="s">
        <v>539</v>
      </c>
      <c r="P68" s="230">
        <v>6044.6605773399997</v>
      </c>
      <c r="Q68" s="228"/>
      <c r="R68" s="152"/>
      <c r="S68" s="242"/>
      <c r="T68" s="247"/>
      <c r="U68" s="247"/>
      <c r="V68" s="247"/>
      <c r="W68" s="247"/>
      <c r="X68" s="247"/>
      <c r="Y68" s="234"/>
      <c r="Z68" s="242" t="s">
        <v>668</v>
      </c>
      <c r="AA68" s="242">
        <v>0</v>
      </c>
      <c r="AB68" s="242">
        <v>0</v>
      </c>
      <c r="AC68" s="242">
        <v>0</v>
      </c>
      <c r="AD68" s="242">
        <v>0</v>
      </c>
      <c r="AE68" s="242">
        <v>0</v>
      </c>
      <c r="AF68" s="242"/>
      <c r="AG68" s="242" t="s">
        <v>666</v>
      </c>
      <c r="AH68" s="242">
        <v>0</v>
      </c>
      <c r="AI68" s="242">
        <v>0</v>
      </c>
      <c r="AJ68" s="242">
        <v>0</v>
      </c>
      <c r="AK68" s="242">
        <v>8</v>
      </c>
      <c r="AL68" s="242">
        <v>1</v>
      </c>
      <c r="AM68" s="234"/>
      <c r="AN68" s="242" t="s">
        <v>660</v>
      </c>
      <c r="AO68" s="242">
        <v>16197324</v>
      </c>
      <c r="AP68" s="242">
        <v>85</v>
      </c>
      <c r="AQ68" s="242">
        <v>12</v>
      </c>
      <c r="AR68" s="242">
        <v>1550</v>
      </c>
      <c r="AS68" s="242">
        <v>1</v>
      </c>
      <c r="AT68" s="234"/>
      <c r="AU68" s="242" t="s">
        <v>664</v>
      </c>
      <c r="AV68" s="242">
        <v>35484499.979999997</v>
      </c>
      <c r="AW68" s="242">
        <v>47</v>
      </c>
      <c r="AX68" s="242">
        <v>9</v>
      </c>
      <c r="AY68" s="242">
        <v>247</v>
      </c>
      <c r="AZ68" s="242">
        <v>1</v>
      </c>
      <c r="BA68" s="234"/>
      <c r="BB68" s="242" t="s">
        <v>664</v>
      </c>
      <c r="BC68" s="242">
        <v>501035410.5</v>
      </c>
      <c r="BD68" s="242">
        <v>754</v>
      </c>
      <c r="BE68" s="242">
        <v>151</v>
      </c>
      <c r="BF68" s="242">
        <v>4215</v>
      </c>
      <c r="BG68" s="242">
        <v>1</v>
      </c>
      <c r="BH68" s="236" t="s">
        <v>664</v>
      </c>
      <c r="BI68" s="242">
        <v>63170949.899999999</v>
      </c>
      <c r="BJ68" s="242">
        <v>89</v>
      </c>
      <c r="BK68" s="242">
        <v>7</v>
      </c>
      <c r="BL68" s="242">
        <v>196</v>
      </c>
      <c r="BM68" s="242">
        <v>1</v>
      </c>
      <c r="BN68" s="242"/>
      <c r="BO68" s="245" t="s">
        <v>444</v>
      </c>
      <c r="BP68" s="253" t="s">
        <v>523</v>
      </c>
      <c r="BQ68" s="253" t="s">
        <v>630</v>
      </c>
      <c r="BR68" s="253" t="s">
        <v>631</v>
      </c>
    </row>
    <row r="69" spans="1:70" x14ac:dyDescent="0.25">
      <c r="A69" s="83"/>
      <c r="B69" s="181" t="s">
        <v>593</v>
      </c>
      <c r="C69" s="184">
        <v>44470</v>
      </c>
      <c r="D69" s="181">
        <v>11063.97</v>
      </c>
      <c r="E69" s="212">
        <v>1</v>
      </c>
      <c r="F69" s="202"/>
      <c r="G69" s="212" t="s">
        <v>306</v>
      </c>
      <c r="H69" s="212">
        <v>77.700038879999994</v>
      </c>
      <c r="I69" s="158"/>
      <c r="J69" s="3"/>
      <c r="K69" s="217"/>
      <c r="L69" s="217"/>
      <c r="M69" s="217"/>
      <c r="O69" s="230" t="s">
        <v>306</v>
      </c>
      <c r="P69" s="230">
        <v>74.847282390000004</v>
      </c>
      <c r="Q69" s="228"/>
      <c r="R69" s="152"/>
      <c r="S69" s="242"/>
      <c r="T69" s="247"/>
      <c r="U69" s="247"/>
      <c r="V69" s="247"/>
      <c r="W69" s="247"/>
      <c r="X69" s="247"/>
      <c r="Y69" s="234"/>
      <c r="Z69" s="242" t="s">
        <v>668</v>
      </c>
      <c r="AA69" s="242">
        <v>413504</v>
      </c>
      <c r="AB69" s="242">
        <v>20</v>
      </c>
      <c r="AC69" s="242">
        <v>1</v>
      </c>
      <c r="AD69" s="242">
        <v>20</v>
      </c>
      <c r="AE69" s="242">
        <v>1</v>
      </c>
      <c r="AF69" s="242"/>
      <c r="AG69" s="242" t="s">
        <v>667</v>
      </c>
      <c r="AH69" s="242">
        <v>0</v>
      </c>
      <c r="AI69" s="242">
        <v>0</v>
      </c>
      <c r="AJ69" s="242">
        <v>0</v>
      </c>
      <c r="AK69" s="242">
        <v>130</v>
      </c>
      <c r="AL69" s="242">
        <v>1</v>
      </c>
      <c r="AM69" s="234"/>
      <c r="AN69" s="242" t="s">
        <v>661</v>
      </c>
      <c r="AO69" s="242">
        <v>19877586.5</v>
      </c>
      <c r="AP69" s="242">
        <v>163</v>
      </c>
      <c r="AQ69" s="242">
        <v>49</v>
      </c>
      <c r="AR69" s="242">
        <v>2101</v>
      </c>
      <c r="AS69" s="242">
        <v>1</v>
      </c>
      <c r="AT69" s="234"/>
      <c r="AU69" s="242" t="s">
        <v>665</v>
      </c>
      <c r="AV69" s="242">
        <v>0</v>
      </c>
      <c r="AW69" s="242">
        <v>0</v>
      </c>
      <c r="AX69" s="242">
        <v>0</v>
      </c>
      <c r="AY69" s="242">
        <v>69</v>
      </c>
      <c r="AZ69" s="242">
        <v>1</v>
      </c>
      <c r="BA69" s="234"/>
      <c r="BB69" s="242" t="s">
        <v>665</v>
      </c>
      <c r="BC69" s="242">
        <v>1216983942.29</v>
      </c>
      <c r="BD69" s="242">
        <v>1903</v>
      </c>
      <c r="BE69" s="242">
        <v>80</v>
      </c>
      <c r="BF69" s="242">
        <v>17599</v>
      </c>
      <c r="BG69" s="242">
        <v>1</v>
      </c>
      <c r="BH69" s="236" t="s">
        <v>665</v>
      </c>
      <c r="BI69" s="242">
        <v>23205000</v>
      </c>
      <c r="BJ69" s="242">
        <v>39</v>
      </c>
      <c r="BK69" s="242">
        <v>1</v>
      </c>
      <c r="BL69" s="242">
        <v>943</v>
      </c>
      <c r="BM69" s="242">
        <v>1</v>
      </c>
      <c r="BN69" s="242"/>
      <c r="BO69" s="236"/>
      <c r="BP69" s="252">
        <v>0</v>
      </c>
      <c r="BQ69" s="252">
        <v>0</v>
      </c>
      <c r="BR69" s="252">
        <v>0</v>
      </c>
    </row>
    <row r="70" spans="1:70" x14ac:dyDescent="0.25">
      <c r="A70" s="83"/>
      <c r="B70" s="181" t="s">
        <v>602</v>
      </c>
      <c r="C70" s="184">
        <v>44509</v>
      </c>
      <c r="D70" s="181">
        <v>4164.74</v>
      </c>
      <c r="E70" s="212">
        <v>1</v>
      </c>
      <c r="F70" s="201"/>
      <c r="G70" s="212" t="s">
        <v>307</v>
      </c>
      <c r="H70" s="212">
        <v>160.65808862</v>
      </c>
      <c r="I70" s="158"/>
      <c r="J70" s="3"/>
      <c r="K70" s="217"/>
      <c r="L70" s="217"/>
      <c r="M70" s="217"/>
      <c r="O70" s="230" t="s">
        <v>307</v>
      </c>
      <c r="P70" s="230">
        <v>155.37769322</v>
      </c>
      <c r="Q70" s="228"/>
      <c r="R70" s="152"/>
      <c r="S70" s="242"/>
      <c r="T70" s="247"/>
      <c r="U70" s="247"/>
      <c r="V70" s="247"/>
      <c r="W70" s="247"/>
      <c r="X70" s="247"/>
      <c r="Y70" s="234"/>
      <c r="Z70" s="242" t="s">
        <v>669</v>
      </c>
      <c r="AA70" s="242">
        <v>11347191.16</v>
      </c>
      <c r="AB70" s="242">
        <v>1340</v>
      </c>
      <c r="AC70" s="242">
        <v>37</v>
      </c>
      <c r="AD70" s="242">
        <v>33381</v>
      </c>
      <c r="AE70" s="242">
        <v>0</v>
      </c>
      <c r="AF70" s="242"/>
      <c r="AG70" s="242" t="s">
        <v>668</v>
      </c>
      <c r="AH70" s="242">
        <v>413504</v>
      </c>
      <c r="AI70" s="242">
        <v>20</v>
      </c>
      <c r="AJ70" s="242">
        <v>1</v>
      </c>
      <c r="AK70" s="242">
        <v>20</v>
      </c>
      <c r="AL70" s="242">
        <v>1</v>
      </c>
      <c r="AM70" s="234"/>
      <c r="AN70" s="242" t="s">
        <v>662</v>
      </c>
      <c r="AO70" s="242">
        <v>67402146.984999999</v>
      </c>
      <c r="AP70" s="242">
        <v>289</v>
      </c>
      <c r="AQ70" s="242">
        <v>43</v>
      </c>
      <c r="AR70" s="242">
        <v>1982</v>
      </c>
      <c r="AS70" s="242">
        <v>1</v>
      </c>
      <c r="AT70" s="234"/>
      <c r="AU70" s="242" t="s">
        <v>666</v>
      </c>
      <c r="AV70" s="242">
        <v>0</v>
      </c>
      <c r="AW70" s="242">
        <v>0</v>
      </c>
      <c r="AX70" s="242">
        <v>0</v>
      </c>
      <c r="AY70" s="242">
        <v>44</v>
      </c>
      <c r="AZ70" s="242">
        <v>1</v>
      </c>
      <c r="BA70" s="234"/>
      <c r="BB70" s="242" t="s">
        <v>666</v>
      </c>
      <c r="BC70" s="242">
        <v>1177240747.2650001</v>
      </c>
      <c r="BD70" s="242">
        <v>3696</v>
      </c>
      <c r="BE70" s="242">
        <v>73</v>
      </c>
      <c r="BF70" s="242">
        <v>17552</v>
      </c>
      <c r="BG70" s="242">
        <v>1</v>
      </c>
      <c r="BH70" s="236" t="s">
        <v>666</v>
      </c>
      <c r="BI70" s="242">
        <v>0</v>
      </c>
      <c r="BJ70" s="242">
        <v>0</v>
      </c>
      <c r="BK70" s="242">
        <v>0</v>
      </c>
      <c r="BL70" s="242">
        <v>920</v>
      </c>
      <c r="BM70" s="242">
        <v>1</v>
      </c>
      <c r="BN70" s="242"/>
      <c r="BO70" s="234"/>
      <c r="BP70" s="234"/>
      <c r="BQ70" s="234"/>
      <c r="BR70" s="234"/>
    </row>
    <row r="71" spans="1:70" x14ac:dyDescent="0.25">
      <c r="A71" s="14"/>
      <c r="B71" s="181" t="s">
        <v>607</v>
      </c>
      <c r="C71" s="184">
        <v>44552</v>
      </c>
      <c r="D71" s="181">
        <v>2516.62</v>
      </c>
      <c r="E71" s="212">
        <v>1</v>
      </c>
      <c r="F71" s="201"/>
      <c r="G71" s="212" t="s">
        <v>308</v>
      </c>
      <c r="H71" s="212">
        <v>50.859736679999997</v>
      </c>
      <c r="I71" s="158"/>
      <c r="J71" s="3"/>
      <c r="K71" s="217"/>
      <c r="L71" s="217"/>
      <c r="M71" s="217"/>
      <c r="O71" s="230" t="s">
        <v>308</v>
      </c>
      <c r="P71" s="230">
        <v>49.501905059999999</v>
      </c>
      <c r="Q71" s="228"/>
      <c r="R71" s="152"/>
      <c r="S71" s="242"/>
      <c r="T71" s="247"/>
      <c r="U71" s="247"/>
      <c r="V71" s="247"/>
      <c r="W71" s="247"/>
      <c r="X71" s="247"/>
      <c r="Y71" s="234"/>
      <c r="Z71" s="242" t="s">
        <v>669</v>
      </c>
      <c r="AA71" s="242">
        <v>3338499377.585</v>
      </c>
      <c r="AB71" s="242">
        <v>6289</v>
      </c>
      <c r="AC71" s="242">
        <v>1592</v>
      </c>
      <c r="AD71" s="242">
        <v>83951</v>
      </c>
      <c r="AE71" s="242">
        <v>1</v>
      </c>
      <c r="AF71" s="242"/>
      <c r="AG71" s="242" t="s">
        <v>669</v>
      </c>
      <c r="AH71" s="242">
        <v>14376580.005000001</v>
      </c>
      <c r="AI71" s="242">
        <v>28</v>
      </c>
      <c r="AJ71" s="242">
        <v>13</v>
      </c>
      <c r="AK71" s="242">
        <v>3928</v>
      </c>
      <c r="AL71" s="242">
        <v>1</v>
      </c>
      <c r="AM71" s="234"/>
      <c r="AN71" s="242" t="s">
        <v>663</v>
      </c>
      <c r="AO71" s="242">
        <v>13213360034.754999</v>
      </c>
      <c r="AP71" s="242">
        <v>35730</v>
      </c>
      <c r="AQ71" s="242">
        <v>3625</v>
      </c>
      <c r="AR71" s="242">
        <v>266339</v>
      </c>
      <c r="AS71" s="242">
        <v>1</v>
      </c>
      <c r="AT71" s="234"/>
      <c r="AU71" s="242" t="s">
        <v>667</v>
      </c>
      <c r="AV71" s="242">
        <v>1250000</v>
      </c>
      <c r="AW71" s="242">
        <v>20</v>
      </c>
      <c r="AX71" s="242">
        <v>2</v>
      </c>
      <c r="AY71" s="242">
        <v>135</v>
      </c>
      <c r="AZ71" s="242">
        <v>1</v>
      </c>
      <c r="BA71" s="234"/>
      <c r="BB71" s="242" t="s">
        <v>667</v>
      </c>
      <c r="BC71" s="242">
        <v>92381431</v>
      </c>
      <c r="BD71" s="242">
        <v>1529</v>
      </c>
      <c r="BE71" s="242">
        <v>290</v>
      </c>
      <c r="BF71" s="242">
        <v>15230</v>
      </c>
      <c r="BG71" s="242">
        <v>1</v>
      </c>
      <c r="BH71" s="236" t="s">
        <v>667</v>
      </c>
      <c r="BI71" s="242">
        <v>2371875</v>
      </c>
      <c r="BJ71" s="242">
        <v>36</v>
      </c>
      <c r="BK71" s="242">
        <v>3</v>
      </c>
      <c r="BL71" s="242">
        <v>989</v>
      </c>
      <c r="BM71" s="242">
        <v>1</v>
      </c>
      <c r="BN71" s="242"/>
      <c r="BO71" s="245" t="s">
        <v>461</v>
      </c>
      <c r="BP71" s="253"/>
      <c r="BQ71" s="253"/>
      <c r="BR71" s="236"/>
    </row>
    <row r="72" spans="1:70" x14ac:dyDescent="0.25">
      <c r="A72" s="145"/>
      <c r="B72" s="181" t="s">
        <v>610</v>
      </c>
      <c r="C72" s="184">
        <v>44533</v>
      </c>
      <c r="D72" s="181">
        <v>9434.74</v>
      </c>
      <c r="E72" s="212">
        <v>1</v>
      </c>
      <c r="F72" s="202"/>
      <c r="G72" s="212" t="s">
        <v>309</v>
      </c>
      <c r="H72" s="212">
        <v>100.78018649000001</v>
      </c>
      <c r="I72" s="158"/>
      <c r="J72" s="3"/>
      <c r="K72" s="217"/>
      <c r="L72" s="217"/>
      <c r="M72" s="217"/>
      <c r="O72" s="230" t="s">
        <v>309</v>
      </c>
      <c r="P72" s="230">
        <v>98.481405199999998</v>
      </c>
      <c r="Q72" s="228"/>
      <c r="R72" s="152"/>
      <c r="S72" s="242"/>
      <c r="T72" s="247"/>
      <c r="U72" s="247"/>
      <c r="V72" s="247"/>
      <c r="W72" s="247"/>
      <c r="X72" s="247"/>
      <c r="Y72" s="234"/>
      <c r="Z72" s="242" t="s">
        <v>670</v>
      </c>
      <c r="AA72" s="242">
        <v>55514883.649999999</v>
      </c>
      <c r="AB72" s="242">
        <v>4487</v>
      </c>
      <c r="AC72" s="242">
        <v>646</v>
      </c>
      <c r="AD72" s="242">
        <v>222013</v>
      </c>
      <c r="AE72" s="242">
        <v>0</v>
      </c>
      <c r="AF72" s="242"/>
      <c r="AG72" s="242" t="s">
        <v>670</v>
      </c>
      <c r="AH72" s="242">
        <v>466356529.93000001</v>
      </c>
      <c r="AI72" s="242">
        <v>1293</v>
      </c>
      <c r="AJ72" s="242">
        <v>363</v>
      </c>
      <c r="AK72" s="242">
        <v>30991</v>
      </c>
      <c r="AL72" s="242">
        <v>1</v>
      </c>
      <c r="AM72" s="234"/>
      <c r="AN72" s="242" t="s">
        <v>664</v>
      </c>
      <c r="AO72" s="242">
        <v>879666125.38999999</v>
      </c>
      <c r="AP72" s="242">
        <v>1183</v>
      </c>
      <c r="AQ72" s="242">
        <v>164</v>
      </c>
      <c r="AR72" s="242">
        <v>5952</v>
      </c>
      <c r="AS72" s="242">
        <v>1</v>
      </c>
      <c r="AT72" s="234"/>
      <c r="AU72" s="242" t="s">
        <v>668</v>
      </c>
      <c r="AV72" s="242">
        <v>0</v>
      </c>
      <c r="AW72" s="242">
        <v>0</v>
      </c>
      <c r="AX72" s="242">
        <v>0</v>
      </c>
      <c r="AY72" s="242">
        <v>0</v>
      </c>
      <c r="AZ72" s="242">
        <v>1</v>
      </c>
      <c r="BA72" s="234"/>
      <c r="BB72" s="242" t="s">
        <v>668</v>
      </c>
      <c r="BC72" s="242">
        <v>0</v>
      </c>
      <c r="BD72" s="242">
        <v>0</v>
      </c>
      <c r="BE72" s="242">
        <v>0</v>
      </c>
      <c r="BF72" s="242">
        <v>3402</v>
      </c>
      <c r="BG72" s="242">
        <v>1</v>
      </c>
      <c r="BH72" s="236" t="s">
        <v>668</v>
      </c>
      <c r="BI72" s="242">
        <v>0</v>
      </c>
      <c r="BJ72" s="242">
        <v>0</v>
      </c>
      <c r="BK72" s="242">
        <v>0</v>
      </c>
      <c r="BL72" s="242">
        <v>162</v>
      </c>
      <c r="BM72" s="242">
        <v>1</v>
      </c>
      <c r="BN72" s="242"/>
      <c r="BO72" s="236"/>
      <c r="BP72" s="252"/>
      <c r="BQ72" s="252"/>
      <c r="BR72" s="236"/>
    </row>
    <row r="73" spans="1:70" x14ac:dyDescent="0.25">
      <c r="A73" s="83"/>
      <c r="B73" s="181" t="s">
        <v>371</v>
      </c>
      <c r="C73" s="184">
        <v>37469</v>
      </c>
      <c r="D73" s="181">
        <v>394.88</v>
      </c>
      <c r="E73" s="212">
        <v>1</v>
      </c>
      <c r="F73" s="202"/>
      <c r="G73" s="212" t="s">
        <v>519</v>
      </c>
      <c r="H73" s="212">
        <v>33195.693276819999</v>
      </c>
      <c r="I73" s="158"/>
      <c r="J73" s="3"/>
      <c r="K73" s="217"/>
      <c r="L73" s="217"/>
      <c r="M73" s="217"/>
      <c r="O73" s="230" t="s">
        <v>519</v>
      </c>
      <c r="P73" s="230">
        <v>32986.75135454</v>
      </c>
      <c r="Q73" s="228"/>
      <c r="R73" s="152"/>
      <c r="S73" s="236"/>
      <c r="T73" s="236"/>
      <c r="U73" s="236"/>
      <c r="V73" s="236"/>
      <c r="W73" s="236"/>
      <c r="X73" s="236"/>
      <c r="Y73" s="234"/>
      <c r="Z73" s="242" t="s">
        <v>670</v>
      </c>
      <c r="AA73" s="242">
        <v>21462797257.389999</v>
      </c>
      <c r="AB73" s="242">
        <v>61233</v>
      </c>
      <c r="AC73" s="242">
        <v>10393</v>
      </c>
      <c r="AD73" s="242">
        <v>656274</v>
      </c>
      <c r="AE73" s="242">
        <v>1</v>
      </c>
      <c r="AF73" s="242"/>
      <c r="AG73" s="242" t="s">
        <v>672</v>
      </c>
      <c r="AH73" s="242">
        <v>138748078.49000001</v>
      </c>
      <c r="AI73" s="242">
        <v>363</v>
      </c>
      <c r="AJ73" s="242">
        <v>156</v>
      </c>
      <c r="AK73" s="242">
        <v>35795</v>
      </c>
      <c r="AL73" s="242">
        <v>1</v>
      </c>
      <c r="AM73" s="234"/>
      <c r="AN73" s="242" t="s">
        <v>665</v>
      </c>
      <c r="AO73" s="242">
        <v>48220319.969999999</v>
      </c>
      <c r="AP73" s="242">
        <v>78</v>
      </c>
      <c r="AQ73" s="242">
        <v>15</v>
      </c>
      <c r="AR73" s="242">
        <v>1034</v>
      </c>
      <c r="AS73" s="242">
        <v>1</v>
      </c>
      <c r="AT73" s="234"/>
      <c r="AU73" s="242" t="s">
        <v>669</v>
      </c>
      <c r="AV73" s="242">
        <v>385875439.755</v>
      </c>
      <c r="AW73" s="242">
        <v>722</v>
      </c>
      <c r="AX73" s="242">
        <v>130</v>
      </c>
      <c r="AY73" s="242">
        <v>4540</v>
      </c>
      <c r="AZ73" s="242">
        <v>1</v>
      </c>
      <c r="BA73" s="234"/>
      <c r="BB73" s="242" t="s">
        <v>669</v>
      </c>
      <c r="BC73" s="242">
        <v>5291619181.6850004</v>
      </c>
      <c r="BD73" s="242">
        <v>12508</v>
      </c>
      <c r="BE73" s="242">
        <v>1935</v>
      </c>
      <c r="BF73" s="242">
        <v>103287</v>
      </c>
      <c r="BG73" s="242">
        <v>1</v>
      </c>
      <c r="BH73" s="236" t="s">
        <v>669</v>
      </c>
      <c r="BI73" s="242">
        <v>49536100.094999999</v>
      </c>
      <c r="BJ73" s="242">
        <v>120</v>
      </c>
      <c r="BK73" s="242">
        <v>40</v>
      </c>
      <c r="BL73" s="242">
        <v>4916</v>
      </c>
      <c r="BM73" s="242">
        <v>1</v>
      </c>
      <c r="BN73" s="242"/>
      <c r="BO73" s="236"/>
      <c r="BP73" s="252"/>
      <c r="BQ73" s="252"/>
      <c r="BR73" s="236"/>
    </row>
    <row r="74" spans="1:70" x14ac:dyDescent="0.25">
      <c r="A74" s="83"/>
      <c r="B74" s="181" t="s">
        <v>372</v>
      </c>
      <c r="C74" s="184">
        <v>38665</v>
      </c>
      <c r="D74" s="181">
        <v>225.62</v>
      </c>
      <c r="E74" s="212">
        <v>1</v>
      </c>
      <c r="F74" s="202"/>
      <c r="G74" s="212" t="s">
        <v>520</v>
      </c>
      <c r="H74" s="212">
        <v>7585.6792154799996</v>
      </c>
      <c r="I74" s="158"/>
      <c r="J74" s="3"/>
      <c r="K74" s="217"/>
      <c r="L74" s="217"/>
      <c r="M74" s="217"/>
      <c r="O74" s="230" t="s">
        <v>520</v>
      </c>
      <c r="P74" s="230">
        <v>7301.65172325</v>
      </c>
      <c r="Q74" s="228"/>
      <c r="R74" s="152"/>
      <c r="S74" s="236"/>
      <c r="T74" s="236"/>
      <c r="U74" s="236"/>
      <c r="V74" s="236"/>
      <c r="W74" s="236"/>
      <c r="X74" s="236"/>
      <c r="Y74" s="234"/>
      <c r="Z74" s="242" t="s">
        <v>671</v>
      </c>
      <c r="AA74" s="242">
        <v>0</v>
      </c>
      <c r="AB74" s="242">
        <v>0</v>
      </c>
      <c r="AC74" s="242">
        <v>0</v>
      </c>
      <c r="AD74" s="242">
        <v>0</v>
      </c>
      <c r="AE74" s="242">
        <v>1</v>
      </c>
      <c r="AF74" s="242"/>
      <c r="AG74" s="242"/>
      <c r="AH74" s="242"/>
      <c r="AI74" s="242"/>
      <c r="AJ74" s="242"/>
      <c r="AK74" s="242"/>
      <c r="AL74" s="242"/>
      <c r="AM74" s="234"/>
      <c r="AN74" s="242" t="s">
        <v>666</v>
      </c>
      <c r="AO74" s="242">
        <v>15584602.5</v>
      </c>
      <c r="AP74" s="242">
        <v>30</v>
      </c>
      <c r="AQ74" s="242">
        <v>12</v>
      </c>
      <c r="AR74" s="242">
        <v>839</v>
      </c>
      <c r="AS74" s="242">
        <v>1</v>
      </c>
      <c r="AT74" s="234"/>
      <c r="AU74" s="242" t="s">
        <v>670</v>
      </c>
      <c r="AV74" s="242">
        <v>3393890427.5100002</v>
      </c>
      <c r="AW74" s="242">
        <v>10050</v>
      </c>
      <c r="AX74" s="242">
        <v>542</v>
      </c>
      <c r="AY74" s="242">
        <v>34393</v>
      </c>
      <c r="AZ74" s="242">
        <v>1</v>
      </c>
      <c r="BA74" s="234"/>
      <c r="BB74" s="242" t="s">
        <v>670</v>
      </c>
      <c r="BC74" s="242">
        <v>19563327101</v>
      </c>
      <c r="BD74" s="242">
        <v>59810</v>
      </c>
      <c r="BE74" s="242">
        <v>10397</v>
      </c>
      <c r="BF74" s="242">
        <v>646657</v>
      </c>
      <c r="BG74" s="242">
        <v>1</v>
      </c>
      <c r="BH74" s="236" t="s">
        <v>670</v>
      </c>
      <c r="BI74" s="242">
        <v>321788364.94999999</v>
      </c>
      <c r="BJ74" s="242">
        <v>1027</v>
      </c>
      <c r="BK74" s="242">
        <v>228</v>
      </c>
      <c r="BL74" s="242">
        <v>27466</v>
      </c>
      <c r="BM74" s="242">
        <v>1</v>
      </c>
      <c r="BN74" s="242"/>
      <c r="BO74" s="236"/>
      <c r="BP74" s="252"/>
      <c r="BQ74" s="236"/>
      <c r="BR74" s="236"/>
    </row>
    <row r="75" spans="1:70" x14ac:dyDescent="0.25">
      <c r="A75" s="83"/>
      <c r="B75" s="181" t="s">
        <v>374</v>
      </c>
      <c r="C75" s="184">
        <v>38624</v>
      </c>
      <c r="D75" s="181">
        <v>173.45</v>
      </c>
      <c r="E75" s="212">
        <v>1</v>
      </c>
      <c r="F75" s="208"/>
      <c r="G75" s="212" t="s">
        <v>521</v>
      </c>
      <c r="H75" s="212">
        <v>5410.4964561999996</v>
      </c>
      <c r="I75" s="158"/>
      <c r="J75" s="3"/>
      <c r="K75" s="217"/>
      <c r="L75" s="217"/>
      <c r="M75" s="217"/>
      <c r="O75" s="230" t="s">
        <v>521</v>
      </c>
      <c r="P75" s="230">
        <v>5399.7643567599998</v>
      </c>
      <c r="Q75" s="228"/>
      <c r="S75" s="243"/>
      <c r="T75" s="246"/>
      <c r="U75" s="246"/>
      <c r="V75" s="246"/>
      <c r="W75" s="246"/>
      <c r="X75" s="246"/>
      <c r="Y75" s="234"/>
      <c r="Z75" s="242" t="s">
        <v>672</v>
      </c>
      <c r="AA75" s="242">
        <v>46873722.700000003</v>
      </c>
      <c r="AB75" s="242">
        <v>4243</v>
      </c>
      <c r="AC75" s="242">
        <v>286</v>
      </c>
      <c r="AD75" s="242">
        <v>208926</v>
      </c>
      <c r="AE75" s="242">
        <v>0</v>
      </c>
      <c r="AF75" s="242"/>
      <c r="AG75" s="242"/>
      <c r="AH75" s="242"/>
      <c r="AI75" s="242"/>
      <c r="AJ75" s="242"/>
      <c r="AK75" s="242"/>
      <c r="AL75" s="242"/>
      <c r="AM75" s="234"/>
      <c r="AN75" s="242" t="s">
        <v>667</v>
      </c>
      <c r="AO75" s="242">
        <v>6596070</v>
      </c>
      <c r="AP75" s="242">
        <v>105</v>
      </c>
      <c r="AQ75" s="242">
        <v>10</v>
      </c>
      <c r="AR75" s="242">
        <v>3045</v>
      </c>
      <c r="AS75" s="242">
        <v>1</v>
      </c>
      <c r="AT75" s="234"/>
      <c r="AU75" s="242" t="s">
        <v>671</v>
      </c>
      <c r="AV75" s="242">
        <v>0</v>
      </c>
      <c r="AW75" s="242">
        <v>0</v>
      </c>
      <c r="AX75" s="242">
        <v>0</v>
      </c>
      <c r="AY75" s="242">
        <v>0</v>
      </c>
      <c r="AZ75" s="242">
        <v>1</v>
      </c>
      <c r="BA75" s="234"/>
      <c r="BB75" s="242" t="s">
        <v>671</v>
      </c>
      <c r="BC75" s="242">
        <v>0</v>
      </c>
      <c r="BD75" s="242">
        <v>0</v>
      </c>
      <c r="BE75" s="242">
        <v>0</v>
      </c>
      <c r="BF75" s="242">
        <v>0</v>
      </c>
      <c r="BG75" s="242">
        <v>1</v>
      </c>
      <c r="BH75" s="236" t="s">
        <v>671</v>
      </c>
      <c r="BI75" s="242">
        <v>0</v>
      </c>
      <c r="BJ75" s="242">
        <v>0</v>
      </c>
      <c r="BK75" s="242">
        <v>0</v>
      </c>
      <c r="BL75" s="242">
        <v>0</v>
      </c>
      <c r="BM75" s="242">
        <v>1</v>
      </c>
      <c r="BN75" s="242"/>
      <c r="BO75" s="245" t="s">
        <v>445</v>
      </c>
      <c r="BP75" s="253" t="s">
        <v>629</v>
      </c>
      <c r="BQ75" s="253" t="s">
        <v>630</v>
      </c>
      <c r="BR75" s="253" t="s">
        <v>631</v>
      </c>
    </row>
    <row r="76" spans="1:70" x14ac:dyDescent="0.25">
      <c r="B76" s="181" t="s">
        <v>404</v>
      </c>
      <c r="C76" s="184">
        <v>41277</v>
      </c>
      <c r="D76" s="181">
        <v>2807.39</v>
      </c>
      <c r="E76" s="212">
        <v>1</v>
      </c>
      <c r="F76" s="198"/>
      <c r="G76" s="212" t="s">
        <v>518</v>
      </c>
      <c r="H76" s="212">
        <v>37869.302339000002</v>
      </c>
      <c r="I76" s="158"/>
      <c r="J76" s="3"/>
      <c r="K76" s="217"/>
      <c r="L76" s="217"/>
      <c r="M76" s="217"/>
      <c r="O76" s="230" t="s">
        <v>518</v>
      </c>
      <c r="P76" s="230">
        <v>34930.662307090002</v>
      </c>
      <c r="Q76" s="228"/>
      <c r="R76" s="152"/>
      <c r="S76" s="242"/>
      <c r="T76" s="247"/>
      <c r="U76" s="247"/>
      <c r="V76" s="247"/>
      <c r="W76" s="247"/>
      <c r="X76" s="247"/>
      <c r="Y76" s="234"/>
      <c r="Z76" s="242" t="s">
        <v>672</v>
      </c>
      <c r="AA76" s="242">
        <v>23921416724.700001</v>
      </c>
      <c r="AB76" s="242">
        <v>63903</v>
      </c>
      <c r="AC76" s="242">
        <v>7695</v>
      </c>
      <c r="AD76" s="242">
        <v>838060</v>
      </c>
      <c r="AE76" s="242">
        <v>1</v>
      </c>
      <c r="AF76" s="242"/>
      <c r="AG76" s="242"/>
      <c r="AH76" s="242"/>
      <c r="AI76" s="242"/>
      <c r="AJ76" s="242"/>
      <c r="AK76" s="242"/>
      <c r="AL76" s="242"/>
      <c r="AM76" s="234"/>
      <c r="AN76" s="242" t="s">
        <v>668</v>
      </c>
      <c r="AO76" s="242">
        <v>0</v>
      </c>
      <c r="AP76" s="242">
        <v>0</v>
      </c>
      <c r="AQ76" s="242">
        <v>0</v>
      </c>
      <c r="AR76" s="242">
        <v>0</v>
      </c>
      <c r="AS76" s="242">
        <v>1</v>
      </c>
      <c r="AT76" s="234"/>
      <c r="AU76" s="242" t="s">
        <v>672</v>
      </c>
      <c r="AV76" s="242">
        <v>4382732372.9200001</v>
      </c>
      <c r="AW76" s="242">
        <v>11986</v>
      </c>
      <c r="AX76" s="242">
        <v>416</v>
      </c>
      <c r="AY76" s="242">
        <v>47334</v>
      </c>
      <c r="AZ76" s="242">
        <v>1</v>
      </c>
      <c r="BA76" s="234"/>
      <c r="BB76" s="242" t="s">
        <v>672</v>
      </c>
      <c r="BC76" s="242">
        <v>17694841933.740002</v>
      </c>
      <c r="BD76" s="242">
        <v>54996</v>
      </c>
      <c r="BE76" s="242">
        <v>8314</v>
      </c>
      <c r="BF76" s="242">
        <v>658508</v>
      </c>
      <c r="BG76" s="242">
        <v>1</v>
      </c>
      <c r="BH76" s="234" t="s">
        <v>672</v>
      </c>
      <c r="BI76" s="242">
        <v>480883383.38</v>
      </c>
      <c r="BJ76" s="242">
        <v>1544</v>
      </c>
      <c r="BK76" s="242">
        <v>157</v>
      </c>
      <c r="BL76" s="242">
        <v>29500</v>
      </c>
      <c r="BM76" s="242">
        <v>1</v>
      </c>
      <c r="BN76" s="242"/>
      <c r="BO76" s="236"/>
      <c r="BP76" s="252">
        <v>1103552214864.2605</v>
      </c>
      <c r="BQ76" s="252">
        <v>3313674</v>
      </c>
      <c r="BR76" s="252">
        <v>456788</v>
      </c>
    </row>
    <row r="77" spans="1:70" x14ac:dyDescent="0.25">
      <c r="B77" s="181" t="s">
        <v>408</v>
      </c>
      <c r="C77" s="184">
        <v>42110</v>
      </c>
      <c r="D77" s="181">
        <v>522.89537319999999</v>
      </c>
      <c r="E77" s="212">
        <v>1</v>
      </c>
      <c r="F77" s="198"/>
      <c r="G77" s="212" t="s">
        <v>540</v>
      </c>
      <c r="H77" s="212">
        <v>1196.2566195500001</v>
      </c>
      <c r="I77" s="158"/>
      <c r="J77" s="3"/>
      <c r="K77" s="217"/>
      <c r="L77" s="217"/>
      <c r="M77" s="217"/>
      <c r="O77" s="230" t="s">
        <v>540</v>
      </c>
      <c r="P77" s="230">
        <v>1128.0147454099999</v>
      </c>
      <c r="Q77" s="228"/>
      <c r="R77" s="152"/>
      <c r="S77" s="242"/>
      <c r="T77" s="247"/>
      <c r="U77" s="247"/>
      <c r="V77" s="247"/>
      <c r="W77" s="247"/>
      <c r="X77" s="247"/>
      <c r="Y77" s="234"/>
      <c r="Z77" s="242" t="s">
        <v>673</v>
      </c>
      <c r="AA77" s="242">
        <v>0</v>
      </c>
      <c r="AB77" s="242">
        <v>0</v>
      </c>
      <c r="AC77" s="242">
        <v>0</v>
      </c>
      <c r="AD77" s="242">
        <v>0</v>
      </c>
      <c r="AE77" s="242">
        <v>1</v>
      </c>
      <c r="AF77" s="242"/>
      <c r="AG77" s="242"/>
      <c r="AH77" s="242"/>
      <c r="AI77" s="242"/>
      <c r="AJ77" s="242"/>
      <c r="AK77" s="242"/>
      <c r="AL77" s="242"/>
      <c r="AM77" s="234"/>
      <c r="AN77" s="242" t="s">
        <v>669</v>
      </c>
      <c r="AO77" s="242">
        <v>6608359016.7749996</v>
      </c>
      <c r="AP77" s="242">
        <v>12520</v>
      </c>
      <c r="AQ77" s="242">
        <v>3796</v>
      </c>
      <c r="AR77" s="242">
        <v>87074</v>
      </c>
      <c r="AS77" s="242">
        <v>1</v>
      </c>
      <c r="AT77" s="234"/>
      <c r="AU77" s="242" t="s">
        <v>673</v>
      </c>
      <c r="AV77" s="242">
        <v>0</v>
      </c>
      <c r="AW77" s="242">
        <v>0</v>
      </c>
      <c r="AX77" s="242">
        <v>0</v>
      </c>
      <c r="AY77" s="242">
        <v>0</v>
      </c>
      <c r="AZ77" s="242">
        <v>1</v>
      </c>
      <c r="BA77" s="234"/>
      <c r="BB77" s="242" t="s">
        <v>673</v>
      </c>
      <c r="BC77" s="242">
        <v>0</v>
      </c>
      <c r="BD77" s="242">
        <v>0</v>
      </c>
      <c r="BE77" s="242">
        <v>0</v>
      </c>
      <c r="BF77" s="242">
        <v>0</v>
      </c>
      <c r="BG77" s="242">
        <v>1</v>
      </c>
      <c r="BH77" s="234" t="s">
        <v>673</v>
      </c>
      <c r="BI77" s="242">
        <v>0</v>
      </c>
      <c r="BJ77" s="242">
        <v>0</v>
      </c>
      <c r="BK77" s="242">
        <v>0</v>
      </c>
      <c r="BL77" s="242">
        <v>0</v>
      </c>
      <c r="BM77" s="242">
        <v>1</v>
      </c>
      <c r="BN77" s="242"/>
      <c r="BO77" s="236"/>
      <c r="BP77" s="236"/>
      <c r="BQ77" s="236"/>
      <c r="BR77" s="236"/>
    </row>
    <row r="78" spans="1:70" x14ac:dyDescent="0.25">
      <c r="A78" s="144"/>
      <c r="B78" s="181" t="s">
        <v>205</v>
      </c>
      <c r="C78" s="184">
        <v>38628</v>
      </c>
      <c r="D78" s="181">
        <v>10207.67</v>
      </c>
      <c r="E78" s="212">
        <v>1</v>
      </c>
      <c r="F78" s="198"/>
      <c r="G78" s="212" t="s">
        <v>515</v>
      </c>
      <c r="H78" s="212">
        <v>33684.106449799998</v>
      </c>
      <c r="I78" s="158"/>
      <c r="J78" s="63"/>
      <c r="K78" s="217"/>
      <c r="L78" s="217"/>
      <c r="M78" s="217"/>
      <c r="O78" s="230" t="s">
        <v>515</v>
      </c>
      <c r="P78" s="230">
        <v>33007.299322270002</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t="s">
        <v>670</v>
      </c>
      <c r="AO78" s="242">
        <v>40445090003.419998</v>
      </c>
      <c r="AP78" s="242">
        <v>119758</v>
      </c>
      <c r="AQ78" s="242">
        <v>22276</v>
      </c>
      <c r="AR78" s="242">
        <v>738950</v>
      </c>
      <c r="AS78" s="242">
        <v>1</v>
      </c>
      <c r="AT78" s="234"/>
      <c r="AU78" s="242"/>
      <c r="AV78" s="242"/>
      <c r="AW78" s="242"/>
      <c r="AX78" s="242"/>
      <c r="AY78" s="242"/>
      <c r="AZ78" s="242"/>
      <c r="BA78" s="234"/>
      <c r="BB78" s="242"/>
      <c r="BC78" s="242"/>
      <c r="BD78" s="242"/>
      <c r="BE78" s="242"/>
      <c r="BF78" s="242"/>
      <c r="BG78" s="242"/>
      <c r="BH78" s="234"/>
      <c r="BI78" s="242"/>
      <c r="BJ78" s="242"/>
      <c r="BK78" s="242"/>
      <c r="BL78" s="242"/>
      <c r="BM78" s="242"/>
      <c r="BN78" s="242"/>
      <c r="BO78" s="245" t="s">
        <v>464</v>
      </c>
      <c r="BP78" s="253" t="s">
        <v>629</v>
      </c>
      <c r="BQ78" s="253" t="s">
        <v>630</v>
      </c>
      <c r="BR78" s="253" t="s">
        <v>631</v>
      </c>
    </row>
    <row r="79" spans="1:70" x14ac:dyDescent="0.25">
      <c r="A79" s="144"/>
      <c r="B79" s="181" t="s">
        <v>207</v>
      </c>
      <c r="C79" s="184">
        <v>38716</v>
      </c>
      <c r="D79" s="181">
        <v>10070.700000000001</v>
      </c>
      <c r="E79" s="212">
        <v>1</v>
      </c>
      <c r="F79" s="198"/>
      <c r="G79" s="212" t="s">
        <v>517</v>
      </c>
      <c r="H79" s="212">
        <v>75623.652358630003</v>
      </c>
      <c r="I79" s="158"/>
      <c r="J79" s="63"/>
      <c r="K79" s="217"/>
      <c r="L79" s="217"/>
      <c r="M79" s="217"/>
      <c r="O79" s="230" t="s">
        <v>517</v>
      </c>
      <c r="P79" s="230">
        <v>71466.085693779998</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t="s">
        <v>671</v>
      </c>
      <c r="AO79" s="242">
        <v>0</v>
      </c>
      <c r="AP79" s="242">
        <v>0</v>
      </c>
      <c r="AQ79" s="242">
        <v>0</v>
      </c>
      <c r="AR79" s="242">
        <v>0</v>
      </c>
      <c r="AS79" s="242">
        <v>1</v>
      </c>
      <c r="AT79" s="234"/>
      <c r="AU79" s="242"/>
      <c r="AV79" s="242"/>
      <c r="AW79" s="242"/>
      <c r="AX79" s="242"/>
      <c r="AY79" s="242"/>
      <c r="AZ79" s="242"/>
      <c r="BA79" s="234"/>
      <c r="BB79" s="242"/>
      <c r="BC79" s="242"/>
      <c r="BD79" s="242"/>
      <c r="BE79" s="242"/>
      <c r="BF79" s="242"/>
      <c r="BG79" s="242"/>
      <c r="BH79" s="234"/>
      <c r="BI79" s="242"/>
      <c r="BJ79" s="242"/>
      <c r="BK79" s="242"/>
      <c r="BL79" s="242"/>
      <c r="BM79" s="242"/>
      <c r="BN79" s="242"/>
      <c r="BO79" s="240"/>
      <c r="BP79" s="252">
        <v>4282619169.1799998</v>
      </c>
      <c r="BQ79" s="252">
        <v>246067</v>
      </c>
      <c r="BR79" s="252">
        <v>20475</v>
      </c>
    </row>
    <row r="80" spans="1:70" x14ac:dyDescent="0.25">
      <c r="A80" s="144"/>
      <c r="B80" s="181" t="s">
        <v>210</v>
      </c>
      <c r="C80" s="184">
        <v>38425</v>
      </c>
      <c r="D80" s="181">
        <v>14581.36</v>
      </c>
      <c r="E80" s="212">
        <v>1</v>
      </c>
      <c r="F80" s="198"/>
      <c r="G80" s="212" t="s">
        <v>513</v>
      </c>
      <c r="H80" s="212">
        <v>38948.53285969</v>
      </c>
      <c r="I80" s="158"/>
      <c r="J80" s="3"/>
      <c r="K80" s="217"/>
      <c r="L80" s="217"/>
      <c r="M80" s="217"/>
      <c r="O80" s="230" t="s">
        <v>513</v>
      </c>
      <c r="P80" s="230">
        <v>36926.573819069999</v>
      </c>
      <c r="Q80" s="228"/>
      <c r="R80" s="148" t="s">
        <v>424</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t="s">
        <v>672</v>
      </c>
      <c r="AO80" s="234">
        <v>46631718798.339996</v>
      </c>
      <c r="AP80" s="234">
        <v>129234</v>
      </c>
      <c r="AQ80" s="234">
        <v>18220</v>
      </c>
      <c r="AR80" s="234">
        <v>948927</v>
      </c>
      <c r="AS80" s="234">
        <v>1</v>
      </c>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213</v>
      </c>
      <c r="C81" s="184">
        <v>38680</v>
      </c>
      <c r="D81" s="181">
        <v>18105.080000000002</v>
      </c>
      <c r="E81" s="212">
        <v>1</v>
      </c>
      <c r="F81" s="198"/>
      <c r="G81" s="212" t="s">
        <v>512</v>
      </c>
      <c r="H81" s="212">
        <v>50982.810943620003</v>
      </c>
      <c r="I81" s="158"/>
      <c r="J81" s="3"/>
      <c r="K81" s="217"/>
      <c r="L81" s="217"/>
      <c r="M81" s="217"/>
      <c r="O81" s="230" t="s">
        <v>512</v>
      </c>
      <c r="P81" s="230">
        <v>48397.154210070003</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t="s">
        <v>673</v>
      </c>
      <c r="AO81" s="234">
        <v>0</v>
      </c>
      <c r="AP81" s="234">
        <v>0</v>
      </c>
      <c r="AQ81" s="234">
        <v>0</v>
      </c>
      <c r="AR81" s="234">
        <v>0</v>
      </c>
      <c r="AS81" s="234">
        <v>1</v>
      </c>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45" t="s">
        <v>446</v>
      </c>
      <c r="BP81" s="253" t="s">
        <v>629</v>
      </c>
      <c r="BQ81" s="253" t="s">
        <v>630</v>
      </c>
      <c r="BR81" s="253" t="s">
        <v>631</v>
      </c>
    </row>
    <row r="82" spans="1:70" x14ac:dyDescent="0.25">
      <c r="A82" s="144"/>
      <c r="B82" s="181" t="s">
        <v>222</v>
      </c>
      <c r="C82" s="184">
        <v>38615</v>
      </c>
      <c r="D82" s="181">
        <v>4728.4799999999996</v>
      </c>
      <c r="E82" s="212">
        <v>1</v>
      </c>
      <c r="F82" s="198"/>
      <c r="G82" s="212" t="s">
        <v>511</v>
      </c>
      <c r="H82" s="212">
        <v>23015.678972850001</v>
      </c>
      <c r="I82" s="158"/>
      <c r="J82" s="152"/>
      <c r="K82" s="217"/>
      <c r="L82" s="217"/>
      <c r="M82" s="217"/>
      <c r="O82" s="230" t="s">
        <v>511</v>
      </c>
      <c r="P82" s="230">
        <v>22127.760742729999</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912482136313.55603</v>
      </c>
      <c r="BQ82" s="252">
        <v>3219382</v>
      </c>
      <c r="BR82" s="252">
        <v>479225</v>
      </c>
    </row>
    <row r="83" spans="1:70" x14ac:dyDescent="0.25">
      <c r="A83" s="14"/>
      <c r="B83" s="181" t="s">
        <v>227</v>
      </c>
      <c r="C83" s="184">
        <v>44221</v>
      </c>
      <c r="D83" s="181">
        <v>143155.42628878</v>
      </c>
      <c r="E83" s="212">
        <v>1</v>
      </c>
      <c r="F83" s="201"/>
      <c r="G83" s="212" t="s">
        <v>310</v>
      </c>
      <c r="H83" s="212">
        <v>67052.40039101</v>
      </c>
      <c r="I83" s="158"/>
      <c r="J83" s="152"/>
      <c r="K83" s="217"/>
      <c r="L83" s="217"/>
      <c r="M83" s="217"/>
      <c r="O83" s="230" t="s">
        <v>310</v>
      </c>
      <c r="P83" s="230">
        <v>64063.817360809997</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231</v>
      </c>
      <c r="C84" s="184">
        <v>38716</v>
      </c>
      <c r="D84" s="181">
        <v>14859.1</v>
      </c>
      <c r="E84" s="212">
        <v>1</v>
      </c>
      <c r="F84" s="202"/>
      <c r="G84" s="212" t="s">
        <v>311</v>
      </c>
      <c r="H84" s="212">
        <v>4516.1119712099999</v>
      </c>
      <c r="I84" s="158"/>
      <c r="J84" s="152"/>
      <c r="K84" s="217"/>
      <c r="L84" s="217"/>
      <c r="M84" s="217"/>
      <c r="O84" s="230" t="s">
        <v>311</v>
      </c>
      <c r="P84" s="230">
        <v>4297.6585854699997</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236</v>
      </c>
      <c r="C85" s="184">
        <v>38713</v>
      </c>
      <c r="D85" s="181">
        <v>14630.23</v>
      </c>
      <c r="E85" s="212">
        <v>1</v>
      </c>
      <c r="F85" s="202"/>
      <c r="G85" s="212" t="s">
        <v>312</v>
      </c>
      <c r="H85" s="212">
        <v>73709.387483660001</v>
      </c>
      <c r="I85" s="158"/>
      <c r="J85" s="152"/>
      <c r="K85" s="217"/>
      <c r="L85" s="217"/>
      <c r="M85" s="217"/>
      <c r="O85" s="230" t="s">
        <v>312</v>
      </c>
      <c r="P85" s="230">
        <v>70475.017329440001</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2848940859.9400001</v>
      </c>
      <c r="BQ85" s="252">
        <v>276216</v>
      </c>
      <c r="BR85" s="252">
        <v>21151</v>
      </c>
    </row>
    <row r="86" spans="1:70" x14ac:dyDescent="0.25">
      <c r="A86" s="144"/>
      <c r="B86" s="181" t="s">
        <v>254</v>
      </c>
      <c r="C86" s="184">
        <v>44263</v>
      </c>
      <c r="D86" s="181">
        <v>67897.783925569995</v>
      </c>
      <c r="E86" s="212">
        <v>1</v>
      </c>
      <c r="F86" s="202"/>
      <c r="G86" s="212" t="s">
        <v>313</v>
      </c>
      <c r="H86" s="212">
        <v>14071.669214609999</v>
      </c>
      <c r="I86" s="158"/>
      <c r="J86" s="152"/>
      <c r="K86" s="217"/>
      <c r="L86" s="217"/>
      <c r="M86" s="217"/>
      <c r="O86" s="230" t="s">
        <v>313</v>
      </c>
      <c r="P86" s="230">
        <v>13488.56165422</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621</v>
      </c>
      <c r="C87" s="184">
        <v>42118</v>
      </c>
      <c r="D87" s="181">
        <v>1315.36</v>
      </c>
      <c r="E87" s="212">
        <v>1</v>
      </c>
      <c r="F87" s="202"/>
      <c r="G87" s="212" t="s">
        <v>541</v>
      </c>
      <c r="H87" s="212">
        <v>19482.633477759999</v>
      </c>
      <c r="I87" s="158"/>
      <c r="J87" s="152"/>
      <c r="K87" s="217"/>
      <c r="L87" s="217"/>
      <c r="M87" s="217"/>
      <c r="O87" s="230" t="s">
        <v>541</v>
      </c>
      <c r="P87" s="230">
        <v>18611.201248040001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532</v>
      </c>
      <c r="C88" s="184">
        <v>44560</v>
      </c>
      <c r="D88" s="181">
        <v>75028.87608622</v>
      </c>
      <c r="E88" s="212">
        <v>1</v>
      </c>
      <c r="F88" s="198"/>
      <c r="G88" s="212" t="s">
        <v>542</v>
      </c>
      <c r="H88" s="212">
        <v>20684.97578207</v>
      </c>
      <c r="I88" s="158"/>
      <c r="J88" s="152"/>
      <c r="K88" s="217"/>
      <c r="L88" s="217"/>
      <c r="M88" s="217"/>
      <c r="O88" s="230" t="s">
        <v>542</v>
      </c>
      <c r="P88" s="230">
        <v>19785.17805599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125413</v>
      </c>
      <c r="BQ88" s="234"/>
      <c r="BR88" s="234"/>
    </row>
    <row r="89" spans="1:70" x14ac:dyDescent="0.25">
      <c r="A89" s="14"/>
      <c r="B89" s="181" t="s">
        <v>64</v>
      </c>
      <c r="C89" s="184">
        <v>44537</v>
      </c>
      <c r="D89" s="181">
        <v>96001.372690050004</v>
      </c>
      <c r="E89" s="212">
        <v>1</v>
      </c>
      <c r="F89" s="198"/>
      <c r="G89" s="212" t="s">
        <v>314</v>
      </c>
      <c r="H89" s="212">
        <v>954.41329862999999</v>
      </c>
      <c r="I89" s="158"/>
      <c r="J89" s="152"/>
      <c r="K89" s="217"/>
      <c r="L89" s="217"/>
      <c r="M89" s="217"/>
      <c r="O89" s="230" t="s">
        <v>314</v>
      </c>
      <c r="P89" s="230">
        <v>901.03674081999998</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270</v>
      </c>
      <c r="C90" s="184">
        <v>41009</v>
      </c>
      <c r="D90" s="181">
        <v>91356.97</v>
      </c>
      <c r="E90" s="212">
        <v>1</v>
      </c>
      <c r="F90" s="202"/>
      <c r="G90" s="212" t="s">
        <v>316</v>
      </c>
      <c r="H90" s="212">
        <v>4220.8378131600002</v>
      </c>
      <c r="I90" s="158"/>
      <c r="J90" s="152"/>
      <c r="K90" s="217"/>
      <c r="L90" s="217"/>
      <c r="M90" s="217"/>
      <c r="O90" s="230" t="s">
        <v>316</v>
      </c>
      <c r="P90" s="230">
        <v>4006.9909008599998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279</v>
      </c>
      <c r="C91" s="184">
        <v>41689</v>
      </c>
      <c r="D91" s="181">
        <v>10314.608568510001</v>
      </c>
      <c r="E91" s="212">
        <v>1</v>
      </c>
      <c r="F91" s="202"/>
      <c r="G91" s="212" t="s">
        <v>317</v>
      </c>
      <c r="H91" s="212">
        <v>12611.81910495</v>
      </c>
      <c r="I91" s="158"/>
      <c r="J91" s="152"/>
      <c r="K91" s="217"/>
      <c r="L91" s="217"/>
      <c r="M91" s="217"/>
      <c r="O91" s="230" t="s">
        <v>317</v>
      </c>
      <c r="P91" s="230">
        <v>12090.82346519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48256</v>
      </c>
      <c r="BQ91" s="234"/>
      <c r="BR91" s="234"/>
    </row>
    <row r="92" spans="1:70" x14ac:dyDescent="0.25">
      <c r="A92" s="144"/>
      <c r="B92" s="181" t="s">
        <v>535</v>
      </c>
      <c r="C92" s="184">
        <v>44560</v>
      </c>
      <c r="D92" s="181">
        <v>19534.576692999999</v>
      </c>
      <c r="E92" s="212">
        <v>1</v>
      </c>
      <c r="F92" s="202"/>
      <c r="G92" s="212" t="s">
        <v>543</v>
      </c>
      <c r="H92" s="212">
        <v>711.65548435999995</v>
      </c>
      <c r="I92" s="158"/>
      <c r="J92" s="152"/>
      <c r="K92" s="217"/>
      <c r="L92" s="217"/>
      <c r="M92" s="217"/>
      <c r="O92" s="230" t="s">
        <v>543</v>
      </c>
      <c r="P92" s="230">
        <v>707.17614833000005</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622</v>
      </c>
      <c r="C93" s="184">
        <v>44244</v>
      </c>
      <c r="D93" s="181">
        <v>27908.368237300001</v>
      </c>
      <c r="E93" s="212">
        <v>1</v>
      </c>
      <c r="F93" s="202"/>
      <c r="G93" s="212" t="s">
        <v>544</v>
      </c>
      <c r="H93" s="212">
        <v>249.51908202000001</v>
      </c>
      <c r="I93" s="158"/>
      <c r="J93" s="152"/>
      <c r="K93" s="217"/>
      <c r="L93" s="217"/>
      <c r="M93" s="217"/>
      <c r="O93" s="230" t="s">
        <v>544</v>
      </c>
      <c r="P93" s="230">
        <v>240.17644082999999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291</v>
      </c>
      <c r="C94" s="184">
        <v>39381</v>
      </c>
      <c r="D94" s="181">
        <v>31088.74</v>
      </c>
      <c r="E94" s="212">
        <v>1</v>
      </c>
      <c r="F94" s="198"/>
      <c r="G94" s="212" t="s">
        <v>545</v>
      </c>
      <c r="H94" s="212">
        <v>5494.4849780300001</v>
      </c>
      <c r="I94" s="158"/>
      <c r="J94" s="152"/>
      <c r="K94" s="217"/>
      <c r="L94" s="217"/>
      <c r="M94" s="217"/>
      <c r="O94" s="230" t="s">
        <v>545</v>
      </c>
      <c r="P94" s="230">
        <v>5153.99157569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76</v>
      </c>
      <c r="C95" s="184">
        <v>39381</v>
      </c>
      <c r="D95" s="181">
        <v>35813.949999999997</v>
      </c>
      <c r="E95" s="212">
        <v>1</v>
      </c>
      <c r="F95" s="198"/>
      <c r="G95" s="212" t="s">
        <v>546</v>
      </c>
      <c r="H95" s="212">
        <v>21773.975379560001</v>
      </c>
      <c r="I95" s="158"/>
      <c r="J95" s="152"/>
      <c r="K95" s="217"/>
      <c r="L95" s="217"/>
      <c r="M95" s="217"/>
      <c r="O95" s="230" t="s">
        <v>546</v>
      </c>
      <c r="P95" s="230">
        <v>22947.96355402</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82</v>
      </c>
      <c r="C96" s="184">
        <v>39381</v>
      </c>
      <c r="D96" s="181">
        <v>65291.38</v>
      </c>
      <c r="E96" s="212">
        <v>1</v>
      </c>
      <c r="F96" s="202"/>
      <c r="G96" s="212" t="s">
        <v>547</v>
      </c>
      <c r="H96" s="212">
        <v>8822.6971813799992</v>
      </c>
      <c r="I96" s="158"/>
      <c r="J96" s="152"/>
      <c r="K96" s="217"/>
      <c r="L96" s="217"/>
      <c r="M96" s="217"/>
      <c r="O96" s="230" t="s">
        <v>547</v>
      </c>
      <c r="P96" s="230">
        <v>8058.2951256200004</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296</v>
      </c>
      <c r="C97" s="184">
        <v>41887</v>
      </c>
      <c r="D97" s="181">
        <v>417.67220522999997</v>
      </c>
      <c r="E97" s="212">
        <v>1</v>
      </c>
      <c r="F97" s="202"/>
      <c r="G97" s="212" t="s">
        <v>548</v>
      </c>
      <c r="H97" s="212">
        <v>4137.9584905800002</v>
      </c>
      <c r="I97" s="158"/>
      <c r="K97" s="217"/>
      <c r="L97" s="217"/>
      <c r="M97" s="217"/>
      <c r="O97" s="230" t="s">
        <v>548</v>
      </c>
      <c r="P97" s="230">
        <v>3910.9818645099999</v>
      </c>
    </row>
    <row r="98" spans="1:16" x14ac:dyDescent="0.25">
      <c r="A98" s="144"/>
      <c r="B98" s="181" t="s">
        <v>298</v>
      </c>
      <c r="C98" s="184">
        <v>43587</v>
      </c>
      <c r="D98" s="181">
        <v>89801.649796929996</v>
      </c>
      <c r="E98" s="212">
        <v>1</v>
      </c>
      <c r="F98" s="202"/>
      <c r="G98" s="212" t="s">
        <v>549</v>
      </c>
      <c r="H98" s="212">
        <v>3090.7909429800002</v>
      </c>
      <c r="I98" s="158"/>
      <c r="K98" s="217"/>
      <c r="L98" s="217"/>
      <c r="M98" s="217"/>
      <c r="O98" s="230" t="s">
        <v>549</v>
      </c>
      <c r="P98" s="230">
        <v>2921.0723749899998</v>
      </c>
    </row>
    <row r="99" spans="1:16" x14ac:dyDescent="0.25">
      <c r="A99" s="144"/>
      <c r="B99" s="181" t="s">
        <v>541</v>
      </c>
      <c r="C99" s="184">
        <v>44560</v>
      </c>
      <c r="D99" s="181">
        <v>19534.576692999999</v>
      </c>
      <c r="E99" s="212">
        <v>1</v>
      </c>
      <c r="F99" s="202"/>
      <c r="G99" s="212" t="s">
        <v>550</v>
      </c>
      <c r="H99" s="212">
        <v>8708.0135171799993</v>
      </c>
      <c r="I99" s="158"/>
      <c r="K99" s="217"/>
      <c r="L99" s="217"/>
      <c r="M99" s="217"/>
      <c r="O99" s="230" t="s">
        <v>550</v>
      </c>
      <c r="P99" s="230">
        <v>6505.3983334200002</v>
      </c>
    </row>
    <row r="100" spans="1:16" x14ac:dyDescent="0.25">
      <c r="B100" s="181" t="s">
        <v>542</v>
      </c>
      <c r="C100" s="184">
        <v>44560</v>
      </c>
      <c r="D100" s="181">
        <v>20723.70499428</v>
      </c>
      <c r="E100" s="212">
        <v>1</v>
      </c>
      <c r="F100" s="198"/>
      <c r="G100" s="212" t="s">
        <v>551</v>
      </c>
      <c r="H100" s="212">
        <v>33364.106694490001</v>
      </c>
      <c r="I100" s="158"/>
      <c r="K100" s="217"/>
      <c r="L100" s="217"/>
      <c r="M100" s="217"/>
      <c r="O100" s="230" t="s">
        <v>551</v>
      </c>
      <c r="P100" s="230">
        <v>31093.030364769998</v>
      </c>
    </row>
    <row r="101" spans="1:16" x14ac:dyDescent="0.25">
      <c r="B101" s="181" t="s">
        <v>314</v>
      </c>
      <c r="C101" s="184">
        <v>41065</v>
      </c>
      <c r="D101" s="181">
        <v>1120.92</v>
      </c>
      <c r="E101" s="212">
        <v>1</v>
      </c>
      <c r="F101" s="202"/>
      <c r="G101" s="212" t="s">
        <v>552</v>
      </c>
      <c r="H101" s="212">
        <v>71101.232657460001</v>
      </c>
      <c r="I101" s="158"/>
      <c r="K101" s="217"/>
      <c r="L101" s="217"/>
      <c r="M101" s="217"/>
      <c r="O101" s="230" t="s">
        <v>552</v>
      </c>
      <c r="P101" s="230">
        <v>67913.571446129994</v>
      </c>
    </row>
    <row r="102" spans="1:16" x14ac:dyDescent="0.25">
      <c r="B102" s="181" t="s">
        <v>324</v>
      </c>
      <c r="C102" s="184">
        <v>43126</v>
      </c>
      <c r="D102" s="181">
        <v>25359.33</v>
      </c>
      <c r="E102" s="212">
        <v>1</v>
      </c>
      <c r="F102" s="198"/>
      <c r="G102" s="212" t="s">
        <v>553</v>
      </c>
      <c r="H102" s="212">
        <v>1142.1307526600001</v>
      </c>
      <c r="I102" s="158"/>
      <c r="K102" s="217"/>
      <c r="L102" s="217"/>
      <c r="M102" s="217"/>
      <c r="O102" s="230" t="s">
        <v>553</v>
      </c>
      <c r="P102" s="230">
        <v>1061.0010674099999</v>
      </c>
    </row>
    <row r="103" spans="1:16" x14ac:dyDescent="0.25">
      <c r="A103" s="14"/>
      <c r="B103" s="181" t="s">
        <v>325</v>
      </c>
      <c r="C103" s="184">
        <v>41904</v>
      </c>
      <c r="D103" s="181">
        <v>4598.12</v>
      </c>
      <c r="E103" s="212">
        <v>1</v>
      </c>
      <c r="F103" s="202"/>
      <c r="G103" s="212" t="s">
        <v>509</v>
      </c>
      <c r="H103" s="212">
        <v>393.88612388000001</v>
      </c>
      <c r="I103" s="158"/>
      <c r="K103" s="217"/>
      <c r="L103" s="217"/>
      <c r="M103" s="217"/>
      <c r="O103" s="230" t="s">
        <v>509</v>
      </c>
      <c r="P103" s="230">
        <v>373.21048092000001</v>
      </c>
    </row>
    <row r="104" spans="1:16" x14ac:dyDescent="0.25">
      <c r="B104" s="181" t="s">
        <v>326</v>
      </c>
      <c r="C104" s="184">
        <v>42146</v>
      </c>
      <c r="D104" s="181">
        <v>12996.36</v>
      </c>
      <c r="E104" s="212">
        <v>1</v>
      </c>
      <c r="F104" s="202"/>
      <c r="G104" s="212" t="s">
        <v>554</v>
      </c>
      <c r="H104" s="212">
        <v>6227.2609359799999</v>
      </c>
      <c r="I104" s="158"/>
      <c r="K104" s="217"/>
      <c r="L104" s="217"/>
      <c r="M104" s="217"/>
      <c r="O104" s="230" t="s">
        <v>554</v>
      </c>
      <c r="P104" s="230">
        <v>6091.3934246500003</v>
      </c>
    </row>
    <row r="105" spans="1:16" x14ac:dyDescent="0.25">
      <c r="B105" s="181" t="s">
        <v>549</v>
      </c>
      <c r="C105" s="184">
        <v>44560</v>
      </c>
      <c r="D105" s="181">
        <v>3100.5468790599998</v>
      </c>
      <c r="E105" s="212">
        <v>1</v>
      </c>
      <c r="F105" s="202"/>
      <c r="G105" s="212" t="s">
        <v>555</v>
      </c>
      <c r="H105" s="212">
        <v>7523.1487391299997</v>
      </c>
      <c r="I105" s="158"/>
      <c r="K105" s="217"/>
      <c r="L105" s="217"/>
      <c r="M105" s="217"/>
      <c r="O105" s="230" t="s">
        <v>555</v>
      </c>
      <c r="P105" s="230">
        <v>7302.3620470100004</v>
      </c>
    </row>
    <row r="106" spans="1:16" x14ac:dyDescent="0.25">
      <c r="B106" s="181" t="s">
        <v>333</v>
      </c>
      <c r="C106" s="184">
        <v>44267</v>
      </c>
      <c r="D106" s="181">
        <v>57211.3</v>
      </c>
      <c r="E106" s="212">
        <v>1</v>
      </c>
      <c r="F106" s="202"/>
      <c r="G106" s="212" t="s">
        <v>556</v>
      </c>
      <c r="H106" s="212">
        <v>1269.56521739</v>
      </c>
      <c r="I106" s="158"/>
      <c r="K106" s="217"/>
      <c r="L106" s="217"/>
      <c r="M106" s="217"/>
      <c r="O106" s="230" t="s">
        <v>556</v>
      </c>
      <c r="P106" s="230">
        <v>1152.1739130399999</v>
      </c>
    </row>
    <row r="107" spans="1:16" x14ac:dyDescent="0.25">
      <c r="B107" s="181" t="s">
        <v>561</v>
      </c>
      <c r="C107" s="184">
        <v>44350</v>
      </c>
      <c r="D107" s="181">
        <v>6729.9372418399998</v>
      </c>
      <c r="E107" s="212">
        <v>1</v>
      </c>
      <c r="F107" s="202"/>
      <c r="G107" s="212" t="s">
        <v>557</v>
      </c>
      <c r="H107" s="212">
        <v>2422.39689438</v>
      </c>
      <c r="I107" s="158"/>
      <c r="K107" s="217"/>
      <c r="L107" s="217"/>
      <c r="M107" s="217"/>
      <c r="O107" s="230" t="s">
        <v>557</v>
      </c>
      <c r="P107" s="230">
        <v>2383.8569371600001</v>
      </c>
    </row>
    <row r="108" spans="1:16" x14ac:dyDescent="0.25">
      <c r="B108" s="181" t="s">
        <v>565</v>
      </c>
      <c r="C108" s="184">
        <v>44364</v>
      </c>
      <c r="D108" s="181">
        <v>9667.7523078199993</v>
      </c>
      <c r="E108" s="212">
        <v>1</v>
      </c>
      <c r="F108" s="198"/>
      <c r="G108" s="212" t="s">
        <v>558</v>
      </c>
      <c r="H108" s="212">
        <v>6297.4628909900002</v>
      </c>
      <c r="I108" s="158"/>
      <c r="K108" s="217"/>
      <c r="L108" s="217"/>
      <c r="M108" s="217"/>
      <c r="O108" s="230" t="s">
        <v>558</v>
      </c>
      <c r="P108" s="230">
        <v>6115.4389994900002</v>
      </c>
    </row>
    <row r="109" spans="1:16" x14ac:dyDescent="0.25">
      <c r="B109" s="181" t="s">
        <v>566</v>
      </c>
      <c r="C109" s="184">
        <v>44426</v>
      </c>
      <c r="D109" s="181">
        <v>147.06595134</v>
      </c>
      <c r="E109" s="212">
        <v>1</v>
      </c>
      <c r="F109" s="198"/>
      <c r="G109" s="212" t="s">
        <v>559</v>
      </c>
      <c r="H109" s="212">
        <v>2983.50634296</v>
      </c>
      <c r="I109" s="158"/>
      <c r="K109" s="217"/>
      <c r="L109" s="217"/>
      <c r="M109" s="217"/>
      <c r="O109" s="230" t="s">
        <v>559</v>
      </c>
      <c r="P109" s="230">
        <v>2553.5848688000001</v>
      </c>
    </row>
    <row r="110" spans="1:16" x14ac:dyDescent="0.25">
      <c r="B110" s="181" t="s">
        <v>343</v>
      </c>
      <c r="C110" s="184">
        <v>43165</v>
      </c>
      <c r="D110" s="181">
        <v>14437.3</v>
      </c>
      <c r="E110" s="212">
        <v>1</v>
      </c>
      <c r="F110" s="198"/>
      <c r="G110" s="212" t="s">
        <v>560</v>
      </c>
      <c r="H110" s="212">
        <v>189.50182394000001</v>
      </c>
      <c r="I110" s="158"/>
      <c r="K110" s="217"/>
      <c r="L110" s="217"/>
      <c r="M110" s="217"/>
      <c r="O110" s="230" t="s">
        <v>560</v>
      </c>
      <c r="P110" s="230">
        <v>177.87055351000001</v>
      </c>
    </row>
    <row r="111" spans="1:16" x14ac:dyDescent="0.25">
      <c r="B111" s="181" t="s">
        <v>346</v>
      </c>
      <c r="C111" s="184">
        <v>42374</v>
      </c>
      <c r="D111" s="181">
        <v>13453.03</v>
      </c>
      <c r="E111" s="212">
        <v>1</v>
      </c>
      <c r="F111" s="198"/>
      <c r="G111" s="212" t="s">
        <v>561</v>
      </c>
      <c r="H111" s="212">
        <v>5993.0154256599999</v>
      </c>
      <c r="I111" s="158"/>
      <c r="K111" s="217"/>
      <c r="L111" s="217"/>
      <c r="M111" s="217"/>
      <c r="O111" s="230" t="s">
        <v>561</v>
      </c>
      <c r="P111" s="230">
        <v>6172.20350624</v>
      </c>
    </row>
    <row r="112" spans="1:16" x14ac:dyDescent="0.25">
      <c r="B112" s="181" t="s">
        <v>348</v>
      </c>
      <c r="C112" s="184">
        <v>42310</v>
      </c>
      <c r="D112" s="181">
        <v>11222.21</v>
      </c>
      <c r="E112" s="212">
        <v>1</v>
      </c>
      <c r="F112" s="198"/>
      <c r="G112" s="212" t="s">
        <v>562</v>
      </c>
      <c r="H112" s="212">
        <v>7486.9007242500002</v>
      </c>
      <c r="I112" s="158"/>
      <c r="K112" s="217"/>
      <c r="L112" s="217"/>
      <c r="M112" s="217"/>
      <c r="O112" s="230" t="s">
        <v>562</v>
      </c>
      <c r="P112" s="230">
        <v>6919.1633598400003</v>
      </c>
    </row>
    <row r="113" spans="2:16" x14ac:dyDescent="0.25">
      <c r="B113" s="181" t="s">
        <v>360</v>
      </c>
      <c r="C113" s="184">
        <v>42222</v>
      </c>
      <c r="D113" s="181">
        <v>26117.47</v>
      </c>
      <c r="E113" s="212">
        <v>1</v>
      </c>
      <c r="F113" s="198"/>
      <c r="G113" s="212" t="s">
        <v>563</v>
      </c>
      <c r="H113" s="212">
        <v>13277.875813389999</v>
      </c>
      <c r="I113" s="158"/>
      <c r="K113" s="217"/>
      <c r="L113" s="217"/>
      <c r="M113" s="217"/>
      <c r="O113" s="230" t="s">
        <v>563</v>
      </c>
      <c r="P113" s="230">
        <v>12458.485629950001</v>
      </c>
    </row>
    <row r="114" spans="2:16" x14ac:dyDescent="0.25">
      <c r="B114" s="181" t="s">
        <v>367</v>
      </c>
      <c r="C114" s="184">
        <v>43125</v>
      </c>
      <c r="D114" s="181">
        <v>15343.72</v>
      </c>
      <c r="E114" s="212">
        <v>1</v>
      </c>
      <c r="F114" s="198"/>
      <c r="G114" s="212" t="s">
        <v>564</v>
      </c>
      <c r="H114" s="212">
        <v>18.39045462</v>
      </c>
      <c r="I114" s="158"/>
      <c r="K114" s="217"/>
      <c r="L114" s="217"/>
      <c r="M114" s="217"/>
      <c r="O114" s="230" t="s">
        <v>564</v>
      </c>
      <c r="P114" s="230">
        <v>17.1819837</v>
      </c>
    </row>
    <row r="115" spans="2:16" x14ac:dyDescent="0.25">
      <c r="B115" s="181" t="s">
        <v>368</v>
      </c>
      <c r="C115" s="184">
        <v>43125</v>
      </c>
      <c r="D115" s="181">
        <v>18705.11</v>
      </c>
      <c r="E115" s="212">
        <v>1</v>
      </c>
      <c r="F115" s="198"/>
      <c r="G115" s="212" t="s">
        <v>565</v>
      </c>
      <c r="H115" s="212">
        <v>8942.2490805399993</v>
      </c>
      <c r="I115" s="158"/>
      <c r="K115" s="217"/>
      <c r="L115" s="217"/>
      <c r="M115" s="217"/>
      <c r="O115" s="230" t="s">
        <v>565</v>
      </c>
      <c r="P115" s="230">
        <v>8183.0015170899997</v>
      </c>
    </row>
    <row r="116" spans="2:16" x14ac:dyDescent="0.25">
      <c r="B116" s="181" t="s">
        <v>588</v>
      </c>
      <c r="C116" s="184">
        <v>44467</v>
      </c>
      <c r="D116" s="181">
        <v>22652.05</v>
      </c>
      <c r="E116" s="212">
        <v>1</v>
      </c>
      <c r="F116" s="198"/>
      <c r="G116" s="212" t="s">
        <v>566</v>
      </c>
      <c r="H116" s="212">
        <v>141.60719786000001</v>
      </c>
      <c r="I116" s="158"/>
      <c r="K116" s="217"/>
      <c r="L116" s="217"/>
      <c r="M116" s="217"/>
      <c r="O116" s="230" t="s">
        <v>566</v>
      </c>
      <c r="P116" s="230">
        <v>134.04744826999999</v>
      </c>
    </row>
    <row r="117" spans="2:16" x14ac:dyDescent="0.25">
      <c r="B117" s="181" t="s">
        <v>595</v>
      </c>
      <c r="C117" s="184">
        <v>44560</v>
      </c>
      <c r="D117" s="181">
        <v>8684.56</v>
      </c>
      <c r="E117" s="212">
        <v>1</v>
      </c>
      <c r="F117" s="198"/>
      <c r="G117" s="212" t="s">
        <v>567</v>
      </c>
      <c r="H117" s="212">
        <v>3237.0929700800002</v>
      </c>
      <c r="I117" s="158"/>
      <c r="K117" s="217"/>
      <c r="L117" s="217"/>
      <c r="M117" s="217"/>
      <c r="O117" s="230" t="s">
        <v>567</v>
      </c>
      <c r="P117" s="230">
        <v>3424.9106509399999</v>
      </c>
    </row>
    <row r="118" spans="2:16" x14ac:dyDescent="0.25">
      <c r="B118" s="181" t="s">
        <v>596</v>
      </c>
      <c r="C118" s="184">
        <v>44561</v>
      </c>
      <c r="D118" s="181">
        <v>3270.01</v>
      </c>
      <c r="E118" s="212">
        <v>1</v>
      </c>
      <c r="F118" s="198"/>
      <c r="G118" s="212" t="s">
        <v>568</v>
      </c>
      <c r="H118" s="212">
        <v>185.75811837000001</v>
      </c>
      <c r="I118" s="158"/>
      <c r="K118" s="217"/>
      <c r="L118" s="217"/>
      <c r="M118" s="217"/>
      <c r="O118" s="230" t="s">
        <v>568</v>
      </c>
      <c r="P118" s="230">
        <v>179.38504884</v>
      </c>
    </row>
    <row r="119" spans="2:16" x14ac:dyDescent="0.25">
      <c r="B119" s="181" t="s">
        <v>599</v>
      </c>
      <c r="C119" s="184">
        <v>44498</v>
      </c>
      <c r="D119" s="181">
        <v>2600</v>
      </c>
      <c r="E119" s="212">
        <v>1</v>
      </c>
      <c r="F119" s="198"/>
      <c r="G119" s="212" t="s">
        <v>569</v>
      </c>
      <c r="H119" s="212">
        <v>76992.196106760006</v>
      </c>
      <c r="I119" s="158"/>
      <c r="K119" s="217"/>
      <c r="L119" s="217"/>
      <c r="M119" s="217"/>
      <c r="O119" s="230" t="s">
        <v>569</v>
      </c>
      <c r="P119" s="230">
        <v>75424.023912730001</v>
      </c>
    </row>
    <row r="120" spans="2:16" x14ac:dyDescent="0.25">
      <c r="B120" s="181" t="s">
        <v>606</v>
      </c>
      <c r="C120" s="184">
        <v>44560</v>
      </c>
      <c r="D120" s="181">
        <v>34958.120000000003</v>
      </c>
      <c r="E120" s="212">
        <v>1</v>
      </c>
      <c r="F120" s="198"/>
      <c r="G120" s="212" t="s">
        <v>570</v>
      </c>
      <c r="H120" s="212">
        <v>31987.641510369998</v>
      </c>
      <c r="I120" s="158"/>
      <c r="K120" s="217"/>
      <c r="L120" s="217"/>
      <c r="M120" s="217"/>
      <c r="O120" s="230" t="s">
        <v>570</v>
      </c>
      <c r="P120" s="230">
        <v>29390.830160289999</v>
      </c>
    </row>
    <row r="121" spans="2:16" x14ac:dyDescent="0.25">
      <c r="B121" s="181" t="s">
        <v>617</v>
      </c>
      <c r="C121" s="184">
        <v>44278</v>
      </c>
      <c r="D121" s="181">
        <v>1093.78</v>
      </c>
      <c r="E121" s="212">
        <v>1</v>
      </c>
      <c r="F121" s="198"/>
      <c r="G121" s="212" t="s">
        <v>571</v>
      </c>
      <c r="H121" s="212">
        <v>58050.865625580002</v>
      </c>
      <c r="I121" s="158"/>
      <c r="K121" s="217"/>
      <c r="L121" s="217"/>
      <c r="M121" s="217"/>
      <c r="O121" s="230" t="s">
        <v>571</v>
      </c>
      <c r="P121" s="230">
        <v>58196.627643699998</v>
      </c>
    </row>
    <row r="122" spans="2:16" x14ac:dyDescent="0.25">
      <c r="B122" s="181" t="s">
        <v>378</v>
      </c>
      <c r="C122" s="184">
        <v>38006</v>
      </c>
      <c r="D122" s="181">
        <v>106.83</v>
      </c>
      <c r="E122" s="212">
        <v>1</v>
      </c>
      <c r="F122" s="198"/>
      <c r="G122" s="212" t="s">
        <v>572</v>
      </c>
      <c r="H122" s="212">
        <v>14250.73411806</v>
      </c>
      <c r="I122" s="158"/>
      <c r="K122" s="217"/>
      <c r="L122" s="217"/>
      <c r="M122" s="217"/>
      <c r="O122" s="230" t="s">
        <v>572</v>
      </c>
      <c r="P122" s="230">
        <v>14569.942516290001</v>
      </c>
    </row>
    <row r="123" spans="2:16" x14ac:dyDescent="0.25">
      <c r="B123" s="181" t="s">
        <v>386</v>
      </c>
      <c r="C123" s="184">
        <v>38713</v>
      </c>
      <c r="D123" s="181">
        <v>137.76</v>
      </c>
      <c r="E123" s="212">
        <v>1</v>
      </c>
      <c r="F123" s="198"/>
      <c r="G123" s="212" t="s">
        <v>573</v>
      </c>
      <c r="H123" s="212">
        <v>111786.78544630999</v>
      </c>
      <c r="I123" s="158"/>
      <c r="K123" s="217"/>
      <c r="L123" s="217"/>
      <c r="M123" s="217"/>
      <c r="O123" s="230" t="s">
        <v>573</v>
      </c>
      <c r="P123" s="230">
        <v>108295.79992085</v>
      </c>
    </row>
    <row r="124" spans="2:16" x14ac:dyDescent="0.25">
      <c r="B124" s="181" t="s">
        <v>391</v>
      </c>
      <c r="C124" s="184">
        <v>42129</v>
      </c>
      <c r="D124" s="181">
        <v>1211.2244297899999</v>
      </c>
      <c r="E124" s="212">
        <v>1</v>
      </c>
      <c r="F124" s="198"/>
      <c r="G124" s="212" t="s">
        <v>574</v>
      </c>
      <c r="H124" s="212">
        <v>24001.196684080001</v>
      </c>
      <c r="I124" s="158"/>
      <c r="K124" s="217"/>
      <c r="L124" s="217"/>
      <c r="M124" s="217"/>
      <c r="O124" s="230" t="s">
        <v>574</v>
      </c>
      <c r="P124" s="230">
        <v>22016.911702410001</v>
      </c>
    </row>
    <row r="125" spans="2:16" x14ac:dyDescent="0.25">
      <c r="B125" s="181" t="s">
        <v>392</v>
      </c>
      <c r="C125" s="184">
        <v>42552</v>
      </c>
      <c r="D125" s="181">
        <v>532.75119029999996</v>
      </c>
      <c r="E125" s="212">
        <v>1</v>
      </c>
      <c r="F125" s="198"/>
      <c r="G125" s="212" t="s">
        <v>361</v>
      </c>
      <c r="H125" s="212">
        <v>6744.63</v>
      </c>
      <c r="I125" s="158"/>
      <c r="K125" s="217"/>
      <c r="L125" s="217"/>
      <c r="M125" s="217"/>
      <c r="O125" s="230" t="s">
        <v>361</v>
      </c>
      <c r="P125" s="230">
        <v>6535.53</v>
      </c>
    </row>
    <row r="126" spans="2:16" x14ac:dyDescent="0.25">
      <c r="B126" s="181" t="s">
        <v>397</v>
      </c>
      <c r="C126" s="184">
        <v>40478</v>
      </c>
      <c r="D126" s="181">
        <v>148.34</v>
      </c>
      <c r="E126" s="212">
        <v>1</v>
      </c>
      <c r="F126" s="198"/>
      <c r="G126" s="212" t="s">
        <v>362</v>
      </c>
      <c r="H126" s="212">
        <v>22382.3</v>
      </c>
      <c r="I126" s="158"/>
      <c r="K126" s="217"/>
      <c r="L126" s="217"/>
      <c r="M126" s="217"/>
      <c r="O126" s="230" t="s">
        <v>362</v>
      </c>
      <c r="P126" s="230">
        <v>21810.48</v>
      </c>
    </row>
    <row r="127" spans="2:16" x14ac:dyDescent="0.25">
      <c r="B127" s="181" t="s">
        <v>406</v>
      </c>
      <c r="C127" s="184">
        <v>42550</v>
      </c>
      <c r="D127" s="181">
        <v>130.66139737</v>
      </c>
      <c r="E127" s="212">
        <v>1</v>
      </c>
      <c r="F127" s="198"/>
      <c r="G127" s="212" t="s">
        <v>363</v>
      </c>
      <c r="H127" s="212">
        <v>12210.05</v>
      </c>
      <c r="I127" s="158"/>
      <c r="K127" s="217"/>
      <c r="L127" s="217"/>
      <c r="M127" s="217"/>
      <c r="O127" s="230" t="s">
        <v>363</v>
      </c>
      <c r="P127" s="230">
        <v>11210.66</v>
      </c>
    </row>
    <row r="128" spans="2:16" x14ac:dyDescent="0.25">
      <c r="B128" s="181" t="s">
        <v>414</v>
      </c>
      <c r="C128" s="184">
        <v>39604</v>
      </c>
      <c r="D128" s="181">
        <v>233.37</v>
      </c>
      <c r="E128" s="212">
        <v>1</v>
      </c>
      <c r="F128" s="198"/>
      <c r="G128" s="212" t="s">
        <v>364</v>
      </c>
      <c r="H128" s="212">
        <v>18826.400000000001</v>
      </c>
      <c r="I128" s="158"/>
      <c r="K128" s="217"/>
      <c r="L128" s="217"/>
      <c r="M128" s="217"/>
      <c r="O128" s="230" t="s">
        <v>364</v>
      </c>
      <c r="P128" s="230">
        <v>17967.45</v>
      </c>
    </row>
    <row r="129" spans="2:16" x14ac:dyDescent="0.25">
      <c r="B129" s="181" t="s">
        <v>204</v>
      </c>
      <c r="C129" s="184">
        <v>38713</v>
      </c>
      <c r="D129" s="181">
        <v>20229.37</v>
      </c>
      <c r="E129" s="212">
        <v>1</v>
      </c>
      <c r="F129" s="198"/>
      <c r="G129" s="212" t="s">
        <v>365</v>
      </c>
      <c r="H129" s="212">
        <v>7620.25</v>
      </c>
      <c r="I129" s="158"/>
      <c r="K129" s="217"/>
      <c r="L129" s="217"/>
      <c r="M129" s="217"/>
      <c r="O129" s="230" t="s">
        <v>365</v>
      </c>
      <c r="P129" s="230">
        <v>7387.66</v>
      </c>
    </row>
    <row r="130" spans="2:16" x14ac:dyDescent="0.25">
      <c r="B130" s="181" t="s">
        <v>208</v>
      </c>
      <c r="C130" s="184">
        <v>38677</v>
      </c>
      <c r="D130" s="181">
        <v>28766.959999999999</v>
      </c>
      <c r="E130" s="212">
        <v>1</v>
      </c>
      <c r="F130" s="198"/>
      <c r="G130" s="212" t="s">
        <v>366</v>
      </c>
      <c r="H130" s="212">
        <v>20170.61</v>
      </c>
      <c r="I130" s="158"/>
      <c r="K130" s="217"/>
      <c r="L130" s="217"/>
      <c r="M130" s="217"/>
      <c r="O130" s="230" t="s">
        <v>366</v>
      </c>
      <c r="P130" s="230">
        <v>19609.5</v>
      </c>
    </row>
    <row r="131" spans="2:16" x14ac:dyDescent="0.25">
      <c r="B131" s="181" t="s">
        <v>209</v>
      </c>
      <c r="C131" s="184">
        <v>37432</v>
      </c>
      <c r="D131" s="181">
        <v>30613.119999999999</v>
      </c>
      <c r="E131" s="212">
        <v>1</v>
      </c>
      <c r="F131" s="198"/>
      <c r="G131" s="212" t="s">
        <v>367</v>
      </c>
      <c r="H131" s="212">
        <v>11881.31</v>
      </c>
      <c r="I131" s="158"/>
      <c r="K131" s="217"/>
      <c r="L131" s="217"/>
      <c r="M131" s="217"/>
      <c r="O131" s="230" t="s">
        <v>367</v>
      </c>
      <c r="P131" s="230">
        <v>10997.7</v>
      </c>
    </row>
    <row r="132" spans="2:16" x14ac:dyDescent="0.25">
      <c r="B132" s="181" t="s">
        <v>211</v>
      </c>
      <c r="C132" s="184">
        <v>38715</v>
      </c>
      <c r="D132" s="181">
        <v>17673.63</v>
      </c>
      <c r="E132" s="212">
        <v>1</v>
      </c>
      <c r="F132" s="198"/>
      <c r="G132" s="212" t="s">
        <v>368</v>
      </c>
      <c r="H132" s="212">
        <v>16868.669999999998</v>
      </c>
      <c r="I132" s="158"/>
      <c r="K132" s="217"/>
      <c r="L132" s="217"/>
      <c r="M132" s="217"/>
      <c r="O132" s="230" t="s">
        <v>368</v>
      </c>
      <c r="P132" s="230">
        <v>16107.94</v>
      </c>
    </row>
    <row r="133" spans="2:16" x14ac:dyDescent="0.25">
      <c r="B133" s="181" t="s">
        <v>214</v>
      </c>
      <c r="C133" s="184">
        <v>38604</v>
      </c>
      <c r="D133" s="181">
        <v>28742.13</v>
      </c>
      <c r="E133" s="212">
        <v>1</v>
      </c>
      <c r="F133" s="198"/>
      <c r="G133" s="212" t="s">
        <v>575</v>
      </c>
      <c r="H133" s="212">
        <v>12195.89</v>
      </c>
      <c r="I133" s="158"/>
      <c r="K133" s="217"/>
      <c r="L133" s="217"/>
      <c r="M133" s="217"/>
      <c r="O133" s="230" t="s">
        <v>575</v>
      </c>
      <c r="P133" s="230">
        <v>12119.12</v>
      </c>
    </row>
    <row r="134" spans="2:16" x14ac:dyDescent="0.25">
      <c r="B134" s="181" t="s">
        <v>217</v>
      </c>
      <c r="C134" s="184">
        <v>38709</v>
      </c>
      <c r="D134" s="181">
        <v>2183.41</v>
      </c>
      <c r="E134" s="212">
        <v>1</v>
      </c>
      <c r="F134" s="198"/>
      <c r="G134" s="212" t="s">
        <v>576</v>
      </c>
      <c r="H134" s="212">
        <v>8725.5400000000009</v>
      </c>
      <c r="I134" s="158"/>
      <c r="K134" s="217"/>
      <c r="L134" s="217"/>
      <c r="M134" s="217"/>
      <c r="O134" s="230" t="s">
        <v>576</v>
      </c>
      <c r="P134" s="230">
        <v>8398.83</v>
      </c>
    </row>
    <row r="135" spans="2:16" x14ac:dyDescent="0.25">
      <c r="B135" s="181" t="s">
        <v>226</v>
      </c>
      <c r="C135" s="184">
        <v>38699</v>
      </c>
      <c r="D135" s="181">
        <v>28328.49</v>
      </c>
      <c r="E135" s="212">
        <v>1</v>
      </c>
      <c r="F135" s="198"/>
      <c r="G135" s="212" t="s">
        <v>577</v>
      </c>
      <c r="H135" s="212">
        <v>14938.93</v>
      </c>
      <c r="I135" s="158"/>
      <c r="K135" s="217"/>
      <c r="L135" s="217"/>
      <c r="M135" s="217"/>
      <c r="O135" s="230" t="s">
        <v>577</v>
      </c>
      <c r="P135" s="230">
        <v>14909.99</v>
      </c>
    </row>
    <row r="136" spans="2:16" x14ac:dyDescent="0.25">
      <c r="B136" s="181" t="s">
        <v>228</v>
      </c>
      <c r="C136" s="184">
        <v>38709</v>
      </c>
      <c r="D136" s="181">
        <v>1445.21</v>
      </c>
      <c r="E136" s="212">
        <v>1</v>
      </c>
      <c r="F136" s="198"/>
      <c r="G136" s="212" t="s">
        <v>578</v>
      </c>
      <c r="H136" s="212">
        <v>9118.27</v>
      </c>
      <c r="I136" s="158"/>
      <c r="K136" s="217"/>
      <c r="L136" s="217"/>
      <c r="M136" s="217"/>
      <c r="O136" s="230" t="s">
        <v>578</v>
      </c>
      <c r="P136" s="230">
        <v>8409.42</v>
      </c>
    </row>
    <row r="137" spans="2:16" x14ac:dyDescent="0.25">
      <c r="B137" s="181" t="s">
        <v>237</v>
      </c>
      <c r="C137" s="184">
        <v>38713</v>
      </c>
      <c r="D137" s="181">
        <v>1547.81</v>
      </c>
      <c r="E137" s="212">
        <v>1</v>
      </c>
      <c r="F137" s="198"/>
      <c r="G137" s="212" t="s">
        <v>579</v>
      </c>
      <c r="H137" s="212">
        <v>1196.2</v>
      </c>
      <c r="I137" s="158"/>
      <c r="K137" s="217"/>
      <c r="L137" s="217"/>
      <c r="M137" s="217"/>
      <c r="O137" s="230" t="s">
        <v>579</v>
      </c>
      <c r="P137" s="230">
        <v>1127.97</v>
      </c>
    </row>
    <row r="138" spans="2:16" x14ac:dyDescent="0.25">
      <c r="B138" s="181" t="s">
        <v>247</v>
      </c>
      <c r="C138" s="184">
        <v>41849</v>
      </c>
      <c r="D138" s="181">
        <v>4482.8823280400002</v>
      </c>
      <c r="E138" s="212">
        <v>1</v>
      </c>
      <c r="F138" s="198"/>
      <c r="G138" s="212" t="s">
        <v>580</v>
      </c>
      <c r="H138" s="212">
        <v>47654.239999999998</v>
      </c>
      <c r="I138" s="158"/>
      <c r="K138" s="217"/>
      <c r="L138" s="217"/>
      <c r="M138" s="217"/>
      <c r="O138" s="230" t="s">
        <v>580</v>
      </c>
      <c r="P138" s="230">
        <v>46199.62</v>
      </c>
    </row>
    <row r="139" spans="2:16" x14ac:dyDescent="0.25">
      <c r="B139" s="181" t="s">
        <v>248</v>
      </c>
      <c r="C139" s="184">
        <v>41849</v>
      </c>
      <c r="D139" s="181">
        <v>4264.0820106800002</v>
      </c>
      <c r="E139" s="212">
        <v>1</v>
      </c>
      <c r="F139" s="198"/>
      <c r="G139" s="212" t="s">
        <v>581</v>
      </c>
      <c r="H139" s="212">
        <v>14938.22</v>
      </c>
      <c r="I139" s="158"/>
      <c r="K139" s="217"/>
      <c r="L139" s="217"/>
      <c r="M139" s="217"/>
      <c r="O139" s="230" t="s">
        <v>581</v>
      </c>
      <c r="P139" s="230">
        <v>14116.96</v>
      </c>
    </row>
    <row r="140" spans="2:16" x14ac:dyDescent="0.25">
      <c r="B140" s="181" t="s">
        <v>62</v>
      </c>
      <c r="C140" s="184">
        <v>44039</v>
      </c>
      <c r="D140" s="181">
        <v>6662.4654347699998</v>
      </c>
      <c r="E140" s="212">
        <v>1</v>
      </c>
      <c r="F140" s="198"/>
      <c r="G140" s="212" t="s">
        <v>582</v>
      </c>
      <c r="H140" s="212">
        <v>9262.39</v>
      </c>
      <c r="I140" s="158"/>
      <c r="K140" s="217"/>
      <c r="L140" s="217"/>
      <c r="M140" s="217"/>
      <c r="O140" s="230" t="s">
        <v>582</v>
      </c>
      <c r="P140" s="230">
        <v>8863.06</v>
      </c>
    </row>
    <row r="141" spans="2:16" x14ac:dyDescent="0.25">
      <c r="B141" s="181" t="s">
        <v>251</v>
      </c>
      <c r="C141" s="184">
        <v>38009</v>
      </c>
      <c r="D141" s="181">
        <v>999.63</v>
      </c>
      <c r="E141" s="212">
        <v>1</v>
      </c>
      <c r="F141" s="198"/>
      <c r="G141" s="212" t="s">
        <v>583</v>
      </c>
      <c r="H141" s="212">
        <v>9642.2800000000007</v>
      </c>
      <c r="I141" s="158"/>
      <c r="K141" s="217"/>
      <c r="L141" s="217"/>
      <c r="M141" s="217"/>
      <c r="O141" s="230" t="s">
        <v>583</v>
      </c>
      <c r="P141" s="230">
        <v>9348.3700000000008</v>
      </c>
    </row>
    <row r="142" spans="2:16" x14ac:dyDescent="0.25">
      <c r="B142" s="181" t="s">
        <v>623</v>
      </c>
      <c r="C142" s="184">
        <v>42118</v>
      </c>
      <c r="D142" s="181">
        <v>1238.74</v>
      </c>
      <c r="E142" s="212">
        <v>1</v>
      </c>
      <c r="F142" s="198"/>
      <c r="G142" s="212" t="s">
        <v>584</v>
      </c>
      <c r="H142" s="212">
        <v>48351</v>
      </c>
      <c r="I142" s="158"/>
      <c r="K142" s="217"/>
      <c r="L142" s="217"/>
      <c r="M142" s="217"/>
      <c r="O142" s="230" t="s">
        <v>584</v>
      </c>
      <c r="P142" s="230">
        <v>46818.76</v>
      </c>
    </row>
    <row r="143" spans="2:16" x14ac:dyDescent="0.25">
      <c r="B143" s="181" t="s">
        <v>258</v>
      </c>
      <c r="C143" s="184">
        <v>43348</v>
      </c>
      <c r="D143" s="181">
        <v>421.77493391000002</v>
      </c>
      <c r="E143" s="212">
        <v>1</v>
      </c>
      <c r="F143" s="198"/>
      <c r="G143" s="212" t="s">
        <v>585</v>
      </c>
      <c r="H143" s="212">
        <v>13114.17</v>
      </c>
      <c r="I143" s="158"/>
      <c r="K143" s="217"/>
      <c r="L143" s="217"/>
      <c r="M143" s="217"/>
      <c r="O143" s="230" t="s">
        <v>585</v>
      </c>
      <c r="P143" s="230">
        <v>13031.62</v>
      </c>
    </row>
    <row r="144" spans="2:16" x14ac:dyDescent="0.25">
      <c r="B144" s="181" t="s">
        <v>265</v>
      </c>
      <c r="C144" s="184">
        <v>41411</v>
      </c>
      <c r="D144" s="181">
        <v>2240.63</v>
      </c>
      <c r="E144" s="212">
        <v>1</v>
      </c>
      <c r="F144" s="198"/>
      <c r="G144" s="212" t="s">
        <v>586</v>
      </c>
      <c r="H144" s="212">
        <v>9641.9500000000007</v>
      </c>
      <c r="I144" s="158"/>
      <c r="K144" s="217"/>
      <c r="L144" s="217"/>
      <c r="M144" s="217"/>
      <c r="O144" s="230" t="s">
        <v>586</v>
      </c>
      <c r="P144" s="230">
        <v>9280.93</v>
      </c>
    </row>
    <row r="145" spans="2:16" x14ac:dyDescent="0.25">
      <c r="B145" s="181" t="s">
        <v>94</v>
      </c>
      <c r="C145" s="184">
        <v>39590</v>
      </c>
      <c r="D145" s="181">
        <v>42495.61</v>
      </c>
      <c r="E145" s="212">
        <v>1</v>
      </c>
      <c r="F145" s="198"/>
      <c r="G145" s="212" t="s">
        <v>587</v>
      </c>
      <c r="H145" s="212">
        <v>11661.83</v>
      </c>
      <c r="I145" s="158"/>
      <c r="K145" s="217"/>
      <c r="L145" s="217"/>
      <c r="M145" s="217"/>
      <c r="O145" s="230" t="s">
        <v>587</v>
      </c>
      <c r="P145" s="230">
        <v>10939.54</v>
      </c>
    </row>
    <row r="146" spans="2:16" x14ac:dyDescent="0.25">
      <c r="B146" s="181" t="s">
        <v>278</v>
      </c>
      <c r="C146" s="184">
        <v>44326</v>
      </c>
      <c r="D146" s="181">
        <v>26534.94</v>
      </c>
      <c r="E146" s="212">
        <v>1</v>
      </c>
      <c r="F146" s="198"/>
      <c r="G146" s="212" t="s">
        <v>588</v>
      </c>
      <c r="H146" s="212">
        <v>18725.07</v>
      </c>
      <c r="I146" s="158"/>
      <c r="K146" s="217"/>
      <c r="L146" s="217"/>
      <c r="M146" s="217"/>
      <c r="O146" s="230" t="s">
        <v>588</v>
      </c>
      <c r="P146" s="230">
        <v>19734.669999999998</v>
      </c>
    </row>
    <row r="147" spans="2:16" x14ac:dyDescent="0.25">
      <c r="B147" s="181" t="s">
        <v>285</v>
      </c>
      <c r="C147" s="184">
        <v>42521</v>
      </c>
      <c r="D147" s="181">
        <v>12393.618495070001</v>
      </c>
      <c r="E147" s="212">
        <v>1</v>
      </c>
      <c r="F147" s="198"/>
      <c r="G147" s="212" t="s">
        <v>589</v>
      </c>
      <c r="H147" s="212">
        <v>11807.57</v>
      </c>
      <c r="I147" s="158"/>
      <c r="K147" s="217"/>
      <c r="L147" s="217"/>
      <c r="M147" s="217"/>
      <c r="O147" s="230" t="s">
        <v>589</v>
      </c>
      <c r="P147" s="230">
        <v>10778.74</v>
      </c>
    </row>
    <row r="148" spans="2:16" x14ac:dyDescent="0.25">
      <c r="B148" s="181" t="s">
        <v>288</v>
      </c>
      <c r="C148" s="184">
        <v>42030</v>
      </c>
      <c r="D148" s="181">
        <v>42581.471937620001</v>
      </c>
      <c r="E148" s="212">
        <v>1</v>
      </c>
      <c r="F148" s="198"/>
      <c r="G148" s="212" t="s">
        <v>590</v>
      </c>
      <c r="H148" s="212">
        <v>9235.27</v>
      </c>
      <c r="I148" s="158"/>
      <c r="K148" s="217"/>
      <c r="L148" s="217"/>
      <c r="M148" s="217"/>
      <c r="O148" s="230" t="s">
        <v>590</v>
      </c>
      <c r="P148" s="230">
        <v>8728.69</v>
      </c>
    </row>
    <row r="149" spans="2:16" x14ac:dyDescent="0.25">
      <c r="B149" s="181" t="s">
        <v>289</v>
      </c>
      <c r="C149" s="184">
        <v>43125</v>
      </c>
      <c r="D149" s="181">
        <v>6026.6277274599997</v>
      </c>
      <c r="E149" s="212">
        <v>1</v>
      </c>
      <c r="F149" s="198"/>
      <c r="G149" s="212" t="s">
        <v>591</v>
      </c>
      <c r="H149" s="212">
        <v>6898.15</v>
      </c>
      <c r="I149" s="158"/>
      <c r="K149" s="217"/>
      <c r="L149" s="217"/>
      <c r="M149" s="217"/>
      <c r="O149" s="230" t="s">
        <v>591</v>
      </c>
      <c r="P149" s="230">
        <v>6519.37</v>
      </c>
    </row>
    <row r="150" spans="2:16" x14ac:dyDescent="0.25">
      <c r="B150" s="181" t="s">
        <v>70</v>
      </c>
      <c r="C150" s="184">
        <v>44221</v>
      </c>
      <c r="D150" s="181">
        <v>26624.575161000001</v>
      </c>
      <c r="E150" s="212">
        <v>1</v>
      </c>
      <c r="F150" s="198"/>
      <c r="G150" s="212" t="s">
        <v>592</v>
      </c>
      <c r="H150" s="212">
        <v>19764.25</v>
      </c>
      <c r="I150" s="158"/>
      <c r="K150" s="217"/>
      <c r="L150" s="217"/>
      <c r="M150" s="217"/>
      <c r="O150" s="230" t="s">
        <v>592</v>
      </c>
      <c r="P150" s="230">
        <v>14765.06</v>
      </c>
    </row>
    <row r="151" spans="2:16" x14ac:dyDescent="0.25">
      <c r="B151" s="181" t="s">
        <v>78</v>
      </c>
      <c r="C151" s="184">
        <v>43125</v>
      </c>
      <c r="D151" s="181">
        <v>48467.669364840003</v>
      </c>
      <c r="E151" s="212">
        <v>1</v>
      </c>
      <c r="F151" s="198"/>
      <c r="G151" s="212" t="s">
        <v>593</v>
      </c>
      <c r="H151" s="212">
        <v>10444.469999999999</v>
      </c>
      <c r="I151" s="158"/>
      <c r="K151" s="217"/>
      <c r="L151" s="217"/>
      <c r="M151" s="217"/>
      <c r="O151" s="230" t="s">
        <v>593</v>
      </c>
      <c r="P151" s="230">
        <v>9733.86</v>
      </c>
    </row>
    <row r="152" spans="2:16" x14ac:dyDescent="0.25">
      <c r="B152" s="181" t="s">
        <v>80</v>
      </c>
      <c r="C152" s="184">
        <v>42222</v>
      </c>
      <c r="D152" s="181">
        <v>71088.506129760004</v>
      </c>
      <c r="E152" s="212">
        <v>1</v>
      </c>
      <c r="F152" s="198"/>
      <c r="G152" s="212" t="s">
        <v>594</v>
      </c>
      <c r="H152" s="212">
        <v>16799.39</v>
      </c>
      <c r="I152" s="158"/>
      <c r="K152" s="217"/>
      <c r="L152" s="217"/>
      <c r="M152" s="217"/>
      <c r="O152" s="230" t="s">
        <v>594</v>
      </c>
      <c r="P152" s="230">
        <v>16046.22</v>
      </c>
    </row>
    <row r="153" spans="2:16" x14ac:dyDescent="0.25">
      <c r="B153" s="181" t="s">
        <v>295</v>
      </c>
      <c r="C153" s="184">
        <v>43627</v>
      </c>
      <c r="D153" s="181">
        <v>3193.7852788199998</v>
      </c>
      <c r="E153" s="212">
        <v>1</v>
      </c>
      <c r="F153" s="198"/>
      <c r="G153" s="212" t="s">
        <v>595</v>
      </c>
      <c r="H153" s="212">
        <v>8571.42</v>
      </c>
      <c r="I153" s="158"/>
      <c r="K153" s="217"/>
      <c r="L153" s="217"/>
      <c r="M153" s="217"/>
      <c r="O153" s="230" t="s">
        <v>595</v>
      </c>
      <c r="P153" s="230">
        <v>7962.56</v>
      </c>
    </row>
    <row r="154" spans="2:16" x14ac:dyDescent="0.25">
      <c r="B154" s="181" t="s">
        <v>537</v>
      </c>
      <c r="C154" s="184">
        <v>42488</v>
      </c>
      <c r="D154" s="181">
        <v>19062.31522</v>
      </c>
      <c r="E154" s="212">
        <v>1</v>
      </c>
      <c r="F154" s="198"/>
      <c r="G154" s="212" t="s">
        <v>596</v>
      </c>
      <c r="H154" s="212">
        <v>3270.01</v>
      </c>
      <c r="I154" s="158"/>
      <c r="K154" s="217"/>
      <c r="L154" s="217"/>
      <c r="M154" s="217"/>
      <c r="O154" s="230" t="s">
        <v>596</v>
      </c>
      <c r="P154" s="230">
        <v>3098.39</v>
      </c>
    </row>
    <row r="155" spans="2:16" x14ac:dyDescent="0.25">
      <c r="B155" s="181" t="s">
        <v>299</v>
      </c>
      <c r="C155" s="184">
        <v>43165</v>
      </c>
      <c r="D155" s="181">
        <v>47641.71241624</v>
      </c>
      <c r="E155" s="212">
        <v>1</v>
      </c>
      <c r="F155" s="198"/>
      <c r="G155" s="212" t="s">
        <v>597</v>
      </c>
      <c r="H155" s="212">
        <v>11058.16</v>
      </c>
      <c r="I155" s="158"/>
      <c r="K155" s="217"/>
      <c r="L155" s="217"/>
      <c r="M155" s="217"/>
      <c r="O155" s="230" t="s">
        <v>597</v>
      </c>
      <c r="P155" s="230">
        <v>10816.89</v>
      </c>
    </row>
    <row r="156" spans="2:16" x14ac:dyDescent="0.25">
      <c r="B156" s="181" t="s">
        <v>300</v>
      </c>
      <c r="C156" s="184">
        <v>42374</v>
      </c>
      <c r="D156" s="181">
        <v>1792.3439825099999</v>
      </c>
      <c r="E156" s="212">
        <v>1</v>
      </c>
      <c r="F156" s="198"/>
      <c r="G156" s="212" t="s">
        <v>598</v>
      </c>
      <c r="H156" s="212">
        <v>12861.58</v>
      </c>
      <c r="I156" s="158"/>
      <c r="K156" s="217"/>
      <c r="L156" s="217"/>
      <c r="M156" s="217"/>
      <c r="O156" s="230" t="s">
        <v>598</v>
      </c>
      <c r="P156" s="230">
        <v>12484.13</v>
      </c>
    </row>
    <row r="157" spans="2:16" x14ac:dyDescent="0.25">
      <c r="B157" s="181" t="s">
        <v>308</v>
      </c>
      <c r="C157" s="184">
        <v>43220</v>
      </c>
      <c r="D157" s="181">
        <v>60.391819920000003</v>
      </c>
      <c r="E157" s="212">
        <v>1</v>
      </c>
      <c r="F157" s="198"/>
      <c r="G157" s="212" t="s">
        <v>599</v>
      </c>
      <c r="H157" s="212">
        <v>2539.13</v>
      </c>
      <c r="I157" s="158"/>
      <c r="K157" s="217"/>
      <c r="L157" s="217"/>
      <c r="M157" s="217"/>
      <c r="O157" s="230" t="s">
        <v>599</v>
      </c>
      <c r="P157" s="230">
        <v>2304.35</v>
      </c>
    </row>
    <row r="158" spans="2:16" x14ac:dyDescent="0.25">
      <c r="B158" s="181" t="s">
        <v>512</v>
      </c>
      <c r="C158" s="184">
        <v>44326</v>
      </c>
      <c r="D158" s="181">
        <v>51940.636278600003</v>
      </c>
      <c r="E158" s="212">
        <v>1</v>
      </c>
      <c r="F158" s="198"/>
      <c r="G158" s="212" t="s">
        <v>600</v>
      </c>
      <c r="H158" s="212">
        <v>93604.39</v>
      </c>
      <c r="I158" s="158"/>
      <c r="K158" s="217"/>
      <c r="L158" s="217"/>
      <c r="M158" s="217"/>
      <c r="O158" s="230" t="s">
        <v>600</v>
      </c>
      <c r="P158" s="230">
        <v>92115.16</v>
      </c>
    </row>
    <row r="159" spans="2:16" x14ac:dyDescent="0.25">
      <c r="B159" s="181" t="s">
        <v>313</v>
      </c>
      <c r="C159" s="184">
        <v>44560</v>
      </c>
      <c r="D159" s="181">
        <v>14090.793303869999</v>
      </c>
      <c r="E159" s="212">
        <v>1</v>
      </c>
      <c r="F159" s="198"/>
      <c r="G159" s="212" t="s">
        <v>601</v>
      </c>
      <c r="H159" s="212">
        <v>10766.15</v>
      </c>
      <c r="I159" s="158"/>
      <c r="K159" s="217"/>
      <c r="L159" s="217"/>
      <c r="M159" s="217"/>
      <c r="O159" s="230" t="s">
        <v>601</v>
      </c>
      <c r="P159" s="230">
        <v>10454.959999999999</v>
      </c>
    </row>
    <row r="160" spans="2:16" x14ac:dyDescent="0.25">
      <c r="B160" s="181" t="s">
        <v>543</v>
      </c>
      <c r="C160" s="184">
        <v>44287</v>
      </c>
      <c r="D160" s="181">
        <v>1055.7125234600001</v>
      </c>
      <c r="E160" s="212">
        <v>1</v>
      </c>
      <c r="F160" s="198"/>
      <c r="G160" s="212" t="s">
        <v>602</v>
      </c>
      <c r="H160" s="212">
        <v>3982.51</v>
      </c>
      <c r="I160" s="158"/>
      <c r="K160" s="217"/>
      <c r="L160" s="217"/>
      <c r="M160" s="217"/>
      <c r="O160" s="230" t="s">
        <v>602</v>
      </c>
      <c r="P160" s="230">
        <v>3408.63</v>
      </c>
    </row>
    <row r="161" spans="2:16" x14ac:dyDescent="0.25">
      <c r="B161" s="181" t="s">
        <v>328</v>
      </c>
      <c r="C161" s="184">
        <v>42193</v>
      </c>
      <c r="D161" s="181">
        <v>9363.98</v>
      </c>
      <c r="E161" s="212">
        <v>1</v>
      </c>
      <c r="F161" s="198"/>
      <c r="G161" s="212" t="s">
        <v>603</v>
      </c>
      <c r="H161" s="212">
        <v>18118.14</v>
      </c>
      <c r="I161" s="158"/>
      <c r="K161" s="217"/>
      <c r="L161" s="217"/>
      <c r="M161" s="217"/>
      <c r="O161" s="230" t="s">
        <v>603</v>
      </c>
      <c r="P161" s="230">
        <v>17006.080000000002</v>
      </c>
    </row>
    <row r="162" spans="2:16" x14ac:dyDescent="0.25">
      <c r="B162" s="181" t="s">
        <v>560</v>
      </c>
      <c r="C162" s="184">
        <v>44362</v>
      </c>
      <c r="D162" s="181">
        <v>207.20655972</v>
      </c>
      <c r="E162" s="212">
        <v>1</v>
      </c>
      <c r="F162" s="198"/>
      <c r="G162" s="212" t="s">
        <v>604</v>
      </c>
      <c r="H162" s="212">
        <v>9003.39</v>
      </c>
      <c r="I162" s="158"/>
      <c r="K162" s="217"/>
      <c r="L162" s="217"/>
      <c r="M162" s="217"/>
      <c r="O162" s="230" t="s">
        <v>604</v>
      </c>
      <c r="P162" s="230">
        <v>9272.59</v>
      </c>
    </row>
    <row r="163" spans="2:16" x14ac:dyDescent="0.25">
      <c r="B163" s="181" t="s">
        <v>563</v>
      </c>
      <c r="C163" s="184">
        <v>44560</v>
      </c>
      <c r="D163" s="181">
        <v>13443.058736909999</v>
      </c>
      <c r="E163" s="212">
        <v>1</v>
      </c>
      <c r="F163" s="198"/>
      <c r="G163" s="212" t="s">
        <v>605</v>
      </c>
      <c r="H163" s="212">
        <v>7351.17</v>
      </c>
      <c r="I163" s="158"/>
      <c r="K163" s="217"/>
      <c r="L163" s="217"/>
      <c r="M163" s="217"/>
      <c r="O163" s="230" t="s">
        <v>605</v>
      </c>
      <c r="P163" s="230">
        <v>6793.72</v>
      </c>
    </row>
    <row r="164" spans="2:16" x14ac:dyDescent="0.25">
      <c r="B164" s="181" t="s">
        <v>339</v>
      </c>
      <c r="C164" s="184">
        <v>44204</v>
      </c>
      <c r="D164" s="181">
        <v>125491.21</v>
      </c>
      <c r="E164" s="212">
        <v>1</v>
      </c>
      <c r="F164" s="198"/>
      <c r="G164" s="212" t="s">
        <v>606</v>
      </c>
      <c r="H164" s="212">
        <v>34528.559999999998</v>
      </c>
      <c r="I164" s="158"/>
      <c r="K164" s="217"/>
      <c r="L164" s="217"/>
      <c r="M164" s="217"/>
      <c r="O164" s="230" t="s">
        <v>606</v>
      </c>
      <c r="P164" s="230">
        <v>32397.759999999998</v>
      </c>
    </row>
    <row r="165" spans="2:16" x14ac:dyDescent="0.25">
      <c r="B165" s="181" t="s">
        <v>572</v>
      </c>
      <c r="C165" s="184">
        <v>44537</v>
      </c>
      <c r="D165" s="181">
        <v>16094.476655869999</v>
      </c>
      <c r="E165" s="212">
        <v>1</v>
      </c>
      <c r="F165" s="198"/>
      <c r="G165" s="212" t="s">
        <v>607</v>
      </c>
      <c r="H165" s="212">
        <v>2499.9</v>
      </c>
      <c r="I165" s="158"/>
      <c r="K165" s="217"/>
      <c r="L165" s="217"/>
      <c r="M165" s="217"/>
      <c r="O165" s="230" t="s">
        <v>607</v>
      </c>
      <c r="P165" s="230">
        <v>2335.62</v>
      </c>
    </row>
    <row r="166" spans="2:16" x14ac:dyDescent="0.25">
      <c r="B166" s="181" t="s">
        <v>349</v>
      </c>
      <c r="C166" s="184">
        <v>43875</v>
      </c>
      <c r="D166" s="181">
        <v>13392.1</v>
      </c>
      <c r="E166" s="212">
        <v>1</v>
      </c>
      <c r="F166" s="198"/>
      <c r="G166" s="212" t="s">
        <v>608</v>
      </c>
      <c r="H166" s="212">
        <v>1934.44</v>
      </c>
      <c r="I166" s="158"/>
      <c r="K166" s="217"/>
      <c r="L166" s="217"/>
      <c r="M166" s="217"/>
      <c r="O166" s="230" t="s">
        <v>608</v>
      </c>
      <c r="P166" s="230">
        <v>1770.2</v>
      </c>
    </row>
    <row r="167" spans="2:16" x14ac:dyDescent="0.25">
      <c r="B167" s="181" t="s">
        <v>356</v>
      </c>
      <c r="C167" s="184">
        <v>42069</v>
      </c>
      <c r="D167" s="181">
        <v>31823.85</v>
      </c>
      <c r="E167" s="212">
        <v>1</v>
      </c>
      <c r="F167" s="198"/>
      <c r="G167" s="212" t="s">
        <v>609</v>
      </c>
      <c r="H167" s="212">
        <v>17232.509999999998</v>
      </c>
      <c r="I167" s="158"/>
      <c r="K167" s="217"/>
      <c r="L167" s="217"/>
      <c r="M167" s="217"/>
      <c r="O167" s="230" t="s">
        <v>609</v>
      </c>
      <c r="P167" s="230">
        <v>16512.89</v>
      </c>
    </row>
    <row r="168" spans="2:16" x14ac:dyDescent="0.25">
      <c r="B168" s="181" t="s">
        <v>361</v>
      </c>
      <c r="C168" s="184">
        <v>44302</v>
      </c>
      <c r="D168" s="181">
        <v>7070.09</v>
      </c>
      <c r="E168" s="212">
        <v>1</v>
      </c>
      <c r="F168" s="198"/>
      <c r="G168" s="212" t="s">
        <v>610</v>
      </c>
      <c r="H168" s="212">
        <v>8728.39</v>
      </c>
      <c r="I168" s="158"/>
      <c r="K168" s="217"/>
      <c r="L168" s="217"/>
      <c r="M168" s="217"/>
      <c r="O168" s="230" t="s">
        <v>610</v>
      </c>
      <c r="P168" s="230">
        <v>9234.82</v>
      </c>
    </row>
    <row r="169" spans="2:16" x14ac:dyDescent="0.25">
      <c r="B169" s="181" t="s">
        <v>364</v>
      </c>
      <c r="C169" s="184">
        <v>43060</v>
      </c>
      <c r="D169" s="181">
        <v>20575.990000000002</v>
      </c>
      <c r="E169" s="212">
        <v>1</v>
      </c>
      <c r="F169" s="198"/>
      <c r="G169" s="212" t="s">
        <v>611</v>
      </c>
      <c r="H169" s="212">
        <v>6691.71</v>
      </c>
      <c r="I169" s="158"/>
      <c r="K169" s="217"/>
      <c r="L169" s="217"/>
      <c r="M169" s="217"/>
      <c r="O169" s="230" t="s">
        <v>611</v>
      </c>
      <c r="P169" s="230">
        <v>6462.13</v>
      </c>
    </row>
    <row r="170" spans="2:16" x14ac:dyDescent="0.25">
      <c r="B170" s="181" t="s">
        <v>577</v>
      </c>
      <c r="C170" s="184">
        <v>44467</v>
      </c>
      <c r="D170" s="181">
        <v>16339.24</v>
      </c>
      <c r="E170" s="212">
        <v>1</v>
      </c>
      <c r="F170" s="198"/>
      <c r="G170" s="212" t="s">
        <v>612</v>
      </c>
      <c r="H170" s="212">
        <v>16730</v>
      </c>
      <c r="I170" s="158"/>
      <c r="K170" s="217"/>
      <c r="L170" s="217"/>
      <c r="M170" s="217"/>
      <c r="O170" s="230" t="s">
        <v>612</v>
      </c>
      <c r="P170" s="230">
        <v>16389.240000000002</v>
      </c>
    </row>
    <row r="171" spans="2:16" x14ac:dyDescent="0.25">
      <c r="B171" s="181" t="s">
        <v>578</v>
      </c>
      <c r="C171" s="184">
        <v>44560</v>
      </c>
      <c r="D171" s="181">
        <v>9154.0499999999993</v>
      </c>
      <c r="E171" s="212">
        <v>1</v>
      </c>
      <c r="F171" s="198"/>
      <c r="G171" s="212" t="s">
        <v>613</v>
      </c>
      <c r="H171" s="212">
        <v>8851.58</v>
      </c>
      <c r="I171" s="158"/>
      <c r="K171" s="217"/>
      <c r="L171" s="217"/>
      <c r="M171" s="217"/>
      <c r="O171" s="230" t="s">
        <v>613</v>
      </c>
      <c r="P171" s="230">
        <v>8155.72</v>
      </c>
    </row>
    <row r="172" spans="2:16" x14ac:dyDescent="0.25">
      <c r="B172" s="181" t="s">
        <v>582</v>
      </c>
      <c r="C172" s="184">
        <v>44560</v>
      </c>
      <c r="D172" s="181">
        <v>9291.83</v>
      </c>
      <c r="E172" s="212">
        <v>1</v>
      </c>
      <c r="F172" s="198"/>
      <c r="G172" s="212" t="s">
        <v>614</v>
      </c>
      <c r="H172" s="212">
        <v>10956.56</v>
      </c>
      <c r="I172" s="158"/>
      <c r="K172" s="217"/>
      <c r="L172" s="217"/>
      <c r="M172" s="217"/>
      <c r="O172" s="230" t="s">
        <v>614</v>
      </c>
      <c r="P172" s="230">
        <v>10875.55</v>
      </c>
    </row>
    <row r="173" spans="2:16" x14ac:dyDescent="0.25">
      <c r="B173" s="181" t="s">
        <v>584</v>
      </c>
      <c r="C173" s="184">
        <v>44475</v>
      </c>
      <c r="D173" s="181">
        <v>56627.99</v>
      </c>
      <c r="E173" s="212">
        <v>1</v>
      </c>
      <c r="F173" s="198"/>
      <c r="G173" s="212" t="s">
        <v>615</v>
      </c>
      <c r="H173" s="212">
        <v>5468.4</v>
      </c>
      <c r="I173" s="158"/>
      <c r="K173" s="217"/>
      <c r="L173" s="217"/>
      <c r="M173" s="217"/>
      <c r="O173" s="230" t="s">
        <v>615</v>
      </c>
      <c r="P173" s="230">
        <v>5591.1</v>
      </c>
    </row>
    <row r="174" spans="2:16" x14ac:dyDescent="0.25">
      <c r="B174" s="181" t="s">
        <v>608</v>
      </c>
      <c r="C174" s="184">
        <v>44364</v>
      </c>
      <c r="D174" s="181">
        <v>2091.39</v>
      </c>
      <c r="E174" s="212">
        <v>1</v>
      </c>
      <c r="F174" s="198"/>
      <c r="G174" s="212" t="s">
        <v>616</v>
      </c>
      <c r="H174" s="212">
        <v>42977.120000000003</v>
      </c>
      <c r="I174" s="158"/>
      <c r="K174" s="217"/>
      <c r="L174" s="217"/>
      <c r="M174" s="217"/>
      <c r="O174" s="230" t="s">
        <v>616</v>
      </c>
      <c r="P174" s="230">
        <v>42027.58</v>
      </c>
    </row>
    <row r="175" spans="2:16" x14ac:dyDescent="0.25">
      <c r="B175" s="181" t="s">
        <v>615</v>
      </c>
      <c r="C175" s="184">
        <v>44537</v>
      </c>
      <c r="D175" s="181">
        <v>6177.93</v>
      </c>
      <c r="E175" s="212">
        <v>1</v>
      </c>
      <c r="F175" s="198"/>
      <c r="G175" s="212" t="s">
        <v>617</v>
      </c>
      <c r="H175" s="212">
        <v>955.56</v>
      </c>
      <c r="I175" s="158"/>
      <c r="K175" s="217"/>
      <c r="L175" s="217"/>
      <c r="M175" s="217"/>
      <c r="O175" s="230" t="s">
        <v>617</v>
      </c>
      <c r="P175" s="230">
        <v>876.56</v>
      </c>
    </row>
    <row r="176" spans="2:16" x14ac:dyDescent="0.25">
      <c r="B176" s="181" t="s">
        <v>373</v>
      </c>
      <c r="C176" s="184">
        <v>38665</v>
      </c>
      <c r="D176" s="181">
        <v>225.62</v>
      </c>
      <c r="E176" s="212">
        <v>1</v>
      </c>
      <c r="F176" s="198"/>
      <c r="G176" s="212"/>
      <c r="H176" s="212"/>
      <c r="I176" s="158"/>
      <c r="K176" s="217"/>
      <c r="L176" s="217"/>
      <c r="M176" s="217"/>
      <c r="O176" s="230"/>
      <c r="P176" s="230"/>
    </row>
    <row r="177" spans="2:16" x14ac:dyDescent="0.25">
      <c r="B177" s="181" t="s">
        <v>387</v>
      </c>
      <c r="C177" s="184">
        <v>38713</v>
      </c>
      <c r="D177" s="181">
        <v>141.75</v>
      </c>
      <c r="E177" s="212">
        <v>1</v>
      </c>
      <c r="F177" s="198"/>
      <c r="G177" s="212"/>
      <c r="H177" s="212"/>
      <c r="I177" s="158"/>
      <c r="K177" s="217"/>
      <c r="L177" s="217"/>
      <c r="M177" s="217"/>
      <c r="O177" s="230"/>
      <c r="P177" s="230"/>
    </row>
    <row r="178" spans="2:16" x14ac:dyDescent="0.25">
      <c r="B178" s="181" t="s">
        <v>390</v>
      </c>
      <c r="C178" s="184">
        <v>38705</v>
      </c>
      <c r="D178" s="181">
        <v>217.85</v>
      </c>
      <c r="E178" s="212">
        <v>1</v>
      </c>
      <c r="F178" s="198"/>
      <c r="G178" s="212"/>
      <c r="H178" s="212"/>
      <c r="I178" s="158"/>
      <c r="K178" s="217"/>
      <c r="L178" s="217"/>
      <c r="M178" s="217"/>
      <c r="O178" s="230"/>
      <c r="P178" s="230"/>
    </row>
    <row r="179" spans="2:16" x14ac:dyDescent="0.25">
      <c r="B179" s="181" t="s">
        <v>394</v>
      </c>
      <c r="C179" s="184">
        <v>40577</v>
      </c>
      <c r="D179" s="181">
        <v>493.46</v>
      </c>
      <c r="E179" s="212">
        <v>1</v>
      </c>
      <c r="F179" s="198"/>
      <c r="G179" s="212"/>
      <c r="H179" s="212"/>
      <c r="I179" s="158"/>
      <c r="K179" s="217"/>
      <c r="L179" s="217"/>
      <c r="M179" s="217"/>
      <c r="O179" s="230"/>
      <c r="P179" s="230"/>
    </row>
    <row r="180" spans="2:16" x14ac:dyDescent="0.25">
      <c r="B180" s="181" t="s">
        <v>395</v>
      </c>
      <c r="C180" s="184">
        <v>39618</v>
      </c>
      <c r="D180" s="181">
        <v>303</v>
      </c>
      <c r="E180" s="212">
        <v>1</v>
      </c>
      <c r="F180" s="198"/>
      <c r="G180" s="212"/>
      <c r="H180" s="212"/>
      <c r="I180" s="158"/>
      <c r="K180" s="217"/>
      <c r="L180" s="217"/>
      <c r="M180" s="217"/>
      <c r="O180" s="230"/>
      <c r="P180" s="230"/>
    </row>
    <row r="181" spans="2:16" x14ac:dyDescent="0.25">
      <c r="B181" s="181" t="s">
        <v>402</v>
      </c>
      <c r="C181" s="184">
        <v>39394</v>
      </c>
      <c r="D181" s="181">
        <v>363.69</v>
      </c>
      <c r="E181" s="212">
        <v>1</v>
      </c>
      <c r="F181" s="198"/>
      <c r="G181" s="212"/>
      <c r="H181" s="212"/>
      <c r="I181" s="158"/>
      <c r="K181" s="217"/>
      <c r="L181" s="217"/>
      <c r="M181" s="217"/>
      <c r="O181" s="230"/>
      <c r="P181" s="230"/>
    </row>
    <row r="182" spans="2:16" x14ac:dyDescent="0.25">
      <c r="B182" s="181" t="s">
        <v>403</v>
      </c>
      <c r="C182" s="184">
        <v>42227</v>
      </c>
      <c r="D182" s="181">
        <v>4215.8333879900001</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255</v>
      </c>
      <c r="C191" s="184">
        <v>43125</v>
      </c>
      <c r="D191" s="181">
        <v>4957.9597465699999</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44537</v>
      </c>
      <c r="D197" s="181">
        <v>103177.65008591001</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44560</v>
      </c>
      <c r="D199" s="181">
        <v>29721.95298283</v>
      </c>
      <c r="E199" s="212">
        <v>1</v>
      </c>
      <c r="F199" s="198"/>
      <c r="G199" s="198"/>
      <c r="H199" s="198"/>
      <c r="K199" s="217"/>
      <c r="L199" s="217"/>
      <c r="M199" s="217"/>
      <c r="O199" s="228"/>
      <c r="P199" s="228"/>
    </row>
    <row r="200" spans="2:16" x14ac:dyDescent="0.25">
      <c r="B200" s="181" t="s">
        <v>534</v>
      </c>
      <c r="C200" s="184">
        <v>44537</v>
      </c>
      <c r="D200" s="181">
        <v>92893.550945290001</v>
      </c>
      <c r="E200" s="212">
        <v>1</v>
      </c>
      <c r="F200" s="198"/>
      <c r="G200" s="198"/>
      <c r="H200" s="198"/>
      <c r="K200" s="217"/>
      <c r="L200" s="217"/>
      <c r="M200" s="217"/>
      <c r="O200" s="228"/>
      <c r="P200" s="228"/>
    </row>
    <row r="201" spans="2:16" x14ac:dyDescent="0.25">
      <c r="B201" s="181" t="s">
        <v>98</v>
      </c>
      <c r="C201" s="184">
        <v>44257</v>
      </c>
      <c r="D201" s="181">
        <v>957.07193463999999</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44537</v>
      </c>
      <c r="D204" s="181">
        <v>3164.9197881599998</v>
      </c>
      <c r="E204" s="212">
        <v>1</v>
      </c>
      <c r="F204" s="198"/>
      <c r="G204" s="198"/>
      <c r="H204" s="198"/>
      <c r="K204" s="217"/>
      <c r="L204" s="217"/>
      <c r="M204" s="217"/>
      <c r="O204" s="228"/>
      <c r="P204" s="228"/>
    </row>
    <row r="205" spans="2:16" x14ac:dyDescent="0.25">
      <c r="B205" s="181" t="s">
        <v>536</v>
      </c>
      <c r="C205" s="184">
        <v>44560</v>
      </c>
      <c r="D205" s="181">
        <v>20723.70499428</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303</v>
      </c>
      <c r="C210" s="184">
        <v>43875</v>
      </c>
      <c r="D210" s="181">
        <v>5900.4787694500001</v>
      </c>
      <c r="E210" s="212">
        <v>1</v>
      </c>
    </row>
    <row r="211" spans="2:5" x14ac:dyDescent="0.25">
      <c r="B211" s="181" t="s">
        <v>519</v>
      </c>
      <c r="C211" s="184">
        <v>44287</v>
      </c>
      <c r="D211" s="181">
        <v>49244.486816149998</v>
      </c>
      <c r="E211" s="212">
        <v>1</v>
      </c>
    </row>
    <row r="212" spans="2:5" x14ac:dyDescent="0.25">
      <c r="B212" s="181" t="s">
        <v>518</v>
      </c>
      <c r="C212" s="184">
        <v>44560</v>
      </c>
      <c r="D212" s="181">
        <v>38024.188046490002</v>
      </c>
      <c r="E212" s="212">
        <v>1</v>
      </c>
    </row>
    <row r="213" spans="2:5" x14ac:dyDescent="0.25">
      <c r="B213" s="181" t="s">
        <v>511</v>
      </c>
      <c r="C213" s="184">
        <v>44475</v>
      </c>
      <c r="D213" s="181">
        <v>26905.444889729999</v>
      </c>
      <c r="E213" s="212">
        <v>1</v>
      </c>
    </row>
    <row r="214" spans="2:5" x14ac:dyDescent="0.25">
      <c r="B214" s="181" t="s">
        <v>311</v>
      </c>
      <c r="C214" s="184">
        <v>43125</v>
      </c>
      <c r="D214" s="181">
        <v>4957.9597465699999</v>
      </c>
      <c r="E214" s="212">
        <v>1</v>
      </c>
    </row>
    <row r="215" spans="2:5" x14ac:dyDescent="0.25">
      <c r="B215" s="181" t="s">
        <v>315</v>
      </c>
      <c r="C215" s="184">
        <v>43125</v>
      </c>
      <c r="D215" s="181">
        <v>11610.59631465</v>
      </c>
      <c r="E215" s="212">
        <v>1</v>
      </c>
    </row>
    <row r="216" spans="2:5" x14ac:dyDescent="0.25">
      <c r="B216" s="181" t="s">
        <v>317</v>
      </c>
      <c r="C216" s="184">
        <v>44266</v>
      </c>
      <c r="D216" s="181">
        <v>12908.477512449999</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550</v>
      </c>
      <c r="C220" s="184">
        <v>44553</v>
      </c>
      <c r="D220" s="181">
        <v>8964.1315618000008</v>
      </c>
      <c r="E220" s="212">
        <v>1</v>
      </c>
    </row>
    <row r="221" spans="2:5" x14ac:dyDescent="0.25">
      <c r="B221" s="181" t="s">
        <v>330</v>
      </c>
      <c r="C221" s="184">
        <v>42520</v>
      </c>
      <c r="D221" s="181">
        <v>31469.57</v>
      </c>
      <c r="E221" s="212">
        <v>1</v>
      </c>
    </row>
    <row r="222" spans="2:5" x14ac:dyDescent="0.25">
      <c r="B222" s="181" t="s">
        <v>553</v>
      </c>
      <c r="C222" s="184">
        <v>44560</v>
      </c>
      <c r="D222" s="181">
        <v>1157.2068422100001</v>
      </c>
      <c r="E222" s="212">
        <v>1</v>
      </c>
    </row>
    <row r="223" spans="2:5" x14ac:dyDescent="0.25">
      <c r="B223" s="181" t="s">
        <v>334</v>
      </c>
      <c r="C223" s="184">
        <v>42521</v>
      </c>
      <c r="D223" s="181">
        <v>12168.93</v>
      </c>
      <c r="E223" s="212">
        <v>1</v>
      </c>
    </row>
    <row r="224" spans="2:5" x14ac:dyDescent="0.25">
      <c r="B224" s="181" t="s">
        <v>559</v>
      </c>
      <c r="C224" s="184">
        <v>44509</v>
      </c>
      <c r="D224" s="181">
        <v>3120.0225195799999</v>
      </c>
      <c r="E224" s="212">
        <v>1</v>
      </c>
    </row>
    <row r="225" spans="2:5" x14ac:dyDescent="0.25">
      <c r="B225" s="181" t="s">
        <v>567</v>
      </c>
      <c r="C225" s="184">
        <v>44533</v>
      </c>
      <c r="D225" s="181">
        <v>3499.0556700500001</v>
      </c>
      <c r="E225" s="212">
        <v>1</v>
      </c>
    </row>
    <row r="226" spans="2:5" x14ac:dyDescent="0.25">
      <c r="B226" s="181" t="s">
        <v>573</v>
      </c>
      <c r="C226" s="184">
        <v>44475</v>
      </c>
      <c r="D226" s="181">
        <v>134660.72289922999</v>
      </c>
      <c r="E226" s="212">
        <v>1</v>
      </c>
    </row>
    <row r="227" spans="2:5" x14ac:dyDescent="0.25">
      <c r="B227" s="181" t="s">
        <v>574</v>
      </c>
      <c r="C227" s="184">
        <v>44278</v>
      </c>
      <c r="D227" s="181">
        <v>27472.9976928</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603</v>
      </c>
      <c r="C230" s="184">
        <v>44362</v>
      </c>
      <c r="D230" s="181">
        <v>19810.88</v>
      </c>
      <c r="E230" s="212">
        <v>1</v>
      </c>
    </row>
    <row r="231" spans="2:5" x14ac:dyDescent="0.25">
      <c r="B231" s="181" t="s">
        <v>604</v>
      </c>
      <c r="C231" s="184">
        <v>44350</v>
      </c>
      <c r="D231" s="181">
        <v>10110.48</v>
      </c>
      <c r="E231" s="212">
        <v>1</v>
      </c>
    </row>
    <row r="232" spans="2:5" x14ac:dyDescent="0.25">
      <c r="B232" s="181" t="s">
        <v>605</v>
      </c>
      <c r="C232" s="184">
        <v>44560</v>
      </c>
      <c r="D232" s="181">
        <v>7414.4</v>
      </c>
      <c r="E232" s="212">
        <v>1</v>
      </c>
    </row>
    <row r="233" spans="2:5" x14ac:dyDescent="0.25">
      <c r="B233" s="181" t="s">
        <v>609</v>
      </c>
      <c r="C233" s="184">
        <v>44426</v>
      </c>
      <c r="D233" s="181">
        <v>17480.23</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203</v>
      </c>
      <c r="C243" s="184">
        <v>38713</v>
      </c>
      <c r="D243" s="181">
        <v>17296.830000000002</v>
      </c>
      <c r="E243" s="212">
        <v>1</v>
      </c>
    </row>
    <row r="244" spans="2:5" x14ac:dyDescent="0.25">
      <c r="B244" s="181" t="s">
        <v>215</v>
      </c>
      <c r="C244" s="184">
        <v>38709</v>
      </c>
      <c r="D244" s="181">
        <v>10955.45</v>
      </c>
      <c r="E244" s="212">
        <v>1</v>
      </c>
    </row>
    <row r="245" spans="2:5" x14ac:dyDescent="0.25">
      <c r="B245" s="181" t="s">
        <v>216</v>
      </c>
      <c r="C245" s="184">
        <v>38580</v>
      </c>
      <c r="D245" s="181">
        <v>2321.6</v>
      </c>
      <c r="E245" s="212">
        <v>1</v>
      </c>
    </row>
    <row r="246" spans="2:5" x14ac:dyDescent="0.25">
      <c r="B246" s="181" t="s">
        <v>219</v>
      </c>
      <c r="C246" s="184">
        <v>38663</v>
      </c>
      <c r="D246" s="181">
        <v>43569.17</v>
      </c>
      <c r="E246" s="212">
        <v>1</v>
      </c>
    </row>
    <row r="247" spans="2:5" x14ac:dyDescent="0.25">
      <c r="B247" s="181" t="s">
        <v>223</v>
      </c>
      <c r="C247" s="184">
        <v>38716</v>
      </c>
      <c r="D247" s="181">
        <v>23744.76</v>
      </c>
      <c r="E247" s="212">
        <v>1</v>
      </c>
    </row>
    <row r="248" spans="2:5" x14ac:dyDescent="0.25">
      <c r="B248" s="181" t="s">
        <v>234</v>
      </c>
      <c r="C248" s="184">
        <v>38713</v>
      </c>
      <c r="D248" s="181">
        <v>30401.200000000001</v>
      </c>
      <c r="E248" s="212">
        <v>1</v>
      </c>
    </row>
    <row r="249" spans="2:5" x14ac:dyDescent="0.25">
      <c r="B249" s="181" t="s">
        <v>235</v>
      </c>
      <c r="C249" s="184">
        <v>38709</v>
      </c>
      <c r="D249" s="181">
        <v>16626.419999999998</v>
      </c>
      <c r="E249" s="212">
        <v>1</v>
      </c>
    </row>
    <row r="250" spans="2:5" x14ac:dyDescent="0.25">
      <c r="B250" s="181" t="s">
        <v>245</v>
      </c>
      <c r="C250" s="184">
        <v>44266</v>
      </c>
      <c r="D250" s="181">
        <v>13118.115906380001</v>
      </c>
      <c r="E250" s="212">
        <v>1</v>
      </c>
    </row>
    <row r="251" spans="2:5" x14ac:dyDescent="0.25">
      <c r="B251" s="181" t="s">
        <v>99</v>
      </c>
      <c r="C251" s="184">
        <v>39587</v>
      </c>
      <c r="D251" s="181">
        <v>146.47999999999999</v>
      </c>
      <c r="E251" s="212">
        <v>1</v>
      </c>
    </row>
    <row r="252" spans="2:5" x14ac:dyDescent="0.25">
      <c r="B252" s="181" t="s">
        <v>253</v>
      </c>
      <c r="C252" s="184">
        <v>39604</v>
      </c>
      <c r="D252" s="181">
        <v>61121.71</v>
      </c>
      <c r="E252" s="212">
        <v>1</v>
      </c>
    </row>
    <row r="253" spans="2:5" x14ac:dyDescent="0.25">
      <c r="B253" s="181" t="s">
        <v>46</v>
      </c>
      <c r="C253" s="184">
        <v>44561</v>
      </c>
      <c r="D253" s="181">
        <v>67508.206986389996</v>
      </c>
      <c r="E253" s="212">
        <v>1</v>
      </c>
    </row>
    <row r="254" spans="2:5" x14ac:dyDescent="0.25">
      <c r="B254" s="181" t="s">
        <v>42</v>
      </c>
      <c r="C254" s="184">
        <v>44560</v>
      </c>
      <c r="D254" s="181">
        <v>73786.445899209997</v>
      </c>
      <c r="E254" s="212">
        <v>1</v>
      </c>
    </row>
    <row r="255" spans="2:5" x14ac:dyDescent="0.25">
      <c r="B255" s="181" t="s">
        <v>48</v>
      </c>
      <c r="C255" s="184">
        <v>44561</v>
      </c>
      <c r="D255" s="181">
        <v>8617.2694423800003</v>
      </c>
      <c r="E255" s="212">
        <v>1</v>
      </c>
    </row>
    <row r="256" spans="2:5" x14ac:dyDescent="0.25">
      <c r="B256" s="181" t="s">
        <v>66</v>
      </c>
      <c r="C256" s="184">
        <v>43165</v>
      </c>
      <c r="D256" s="181">
        <v>18847.577311370002</v>
      </c>
      <c r="E256" s="212">
        <v>1</v>
      </c>
    </row>
    <row r="257" spans="2:5" x14ac:dyDescent="0.25">
      <c r="B257" s="181" t="s">
        <v>68</v>
      </c>
      <c r="C257" s="184">
        <v>44560</v>
      </c>
      <c r="D257" s="181">
        <v>92816.837468090001</v>
      </c>
      <c r="E257" s="212">
        <v>1</v>
      </c>
    </row>
    <row r="258" spans="2:5" x14ac:dyDescent="0.25">
      <c r="B258" s="181" t="s">
        <v>102</v>
      </c>
      <c r="C258" s="184">
        <v>42346</v>
      </c>
      <c r="D258" s="181">
        <v>1703.8449540300001</v>
      </c>
      <c r="E258" s="212">
        <v>1</v>
      </c>
    </row>
    <row r="259" spans="2:5" x14ac:dyDescent="0.25">
      <c r="B259" s="181" t="s">
        <v>261</v>
      </c>
      <c r="C259" s="184">
        <v>43738</v>
      </c>
      <c r="D259" s="181">
        <v>562.66120274000002</v>
      </c>
      <c r="E259" s="212">
        <v>1</v>
      </c>
    </row>
    <row r="260" spans="2:5" x14ac:dyDescent="0.25">
      <c r="B260" s="181" t="s">
        <v>92</v>
      </c>
      <c r="C260" s="184">
        <v>42305</v>
      </c>
      <c r="D260" s="181">
        <v>597.8558587</v>
      </c>
      <c r="E260" s="212">
        <v>1</v>
      </c>
    </row>
    <row r="261" spans="2:5" x14ac:dyDescent="0.25">
      <c r="B261" s="181" t="s">
        <v>275</v>
      </c>
      <c r="C261" s="184">
        <v>43125</v>
      </c>
      <c r="D261" s="181">
        <v>11425.13000949</v>
      </c>
      <c r="E261" s="212">
        <v>1</v>
      </c>
    </row>
    <row r="262" spans="2:5" x14ac:dyDescent="0.25">
      <c r="B262" s="181" t="s">
        <v>280</v>
      </c>
      <c r="C262" s="184">
        <v>40581</v>
      </c>
      <c r="D262" s="181">
        <v>82132.160000000003</v>
      </c>
      <c r="E262" s="212">
        <v>1</v>
      </c>
    </row>
    <row r="263" spans="2:5" x14ac:dyDescent="0.25">
      <c r="B263" s="181" t="s">
        <v>283</v>
      </c>
      <c r="C263" s="184">
        <v>38840</v>
      </c>
      <c r="D263" s="181">
        <v>2905.13</v>
      </c>
      <c r="E263" s="212">
        <v>1</v>
      </c>
    </row>
    <row r="264" spans="2:5" x14ac:dyDescent="0.25">
      <c r="B264" s="181" t="s">
        <v>52</v>
      </c>
      <c r="C264" s="184">
        <v>44560</v>
      </c>
      <c r="D264" s="181">
        <v>14090.793303869999</v>
      </c>
      <c r="E264" s="212">
        <v>1</v>
      </c>
    </row>
    <row r="265" spans="2:5" x14ac:dyDescent="0.25">
      <c r="B265" s="181" t="s">
        <v>72</v>
      </c>
      <c r="C265" s="184">
        <v>44263</v>
      </c>
      <c r="D265" s="181">
        <v>51535.333108639999</v>
      </c>
      <c r="E265" s="212">
        <v>1</v>
      </c>
    </row>
    <row r="266" spans="2:5" x14ac:dyDescent="0.25">
      <c r="B266" s="181" t="s">
        <v>84</v>
      </c>
      <c r="C266" s="184">
        <v>41893</v>
      </c>
      <c r="D266" s="181">
        <v>95446.135778840006</v>
      </c>
      <c r="E266" s="212">
        <v>1</v>
      </c>
    </row>
    <row r="267" spans="2:5" x14ac:dyDescent="0.25">
      <c r="B267" s="181" t="s">
        <v>292</v>
      </c>
      <c r="C267" s="184">
        <v>40581</v>
      </c>
      <c r="D267" s="181">
        <v>88089.14</v>
      </c>
      <c r="E267" s="212">
        <v>1</v>
      </c>
    </row>
    <row r="268" spans="2:5" x14ac:dyDescent="0.25">
      <c r="B268" s="181" t="s">
        <v>293</v>
      </c>
      <c r="C268" s="184">
        <v>42655</v>
      </c>
      <c r="D268" s="181">
        <v>6829.7257960500001</v>
      </c>
      <c r="E268" s="212">
        <v>1</v>
      </c>
    </row>
    <row r="269" spans="2:5" x14ac:dyDescent="0.25">
      <c r="B269" s="181" t="s">
        <v>294</v>
      </c>
      <c r="C269" s="184">
        <v>43125</v>
      </c>
      <c r="D269" s="181">
        <v>9856.3269865999991</v>
      </c>
      <c r="E269" s="212">
        <v>1</v>
      </c>
    </row>
    <row r="270" spans="2:5" x14ac:dyDescent="0.25">
      <c r="B270" s="181" t="s">
        <v>297</v>
      </c>
      <c r="C270" s="184">
        <v>39381</v>
      </c>
      <c r="D270" s="181">
        <v>42355.94</v>
      </c>
      <c r="E270" s="212">
        <v>1</v>
      </c>
    </row>
    <row r="271" spans="2:5" x14ac:dyDescent="0.25">
      <c r="B271" s="181" t="s">
        <v>301</v>
      </c>
      <c r="C271" s="184">
        <v>39209</v>
      </c>
      <c r="D271" s="181">
        <v>910.48</v>
      </c>
      <c r="E271" s="212">
        <v>1</v>
      </c>
    </row>
    <row r="272" spans="2:5" x14ac:dyDescent="0.25">
      <c r="B272" s="181" t="s">
        <v>521</v>
      </c>
      <c r="C272" s="184">
        <v>44467</v>
      </c>
      <c r="D272" s="181">
        <v>5917.4404180399997</v>
      </c>
      <c r="E272" s="212">
        <v>1</v>
      </c>
    </row>
    <row r="273" spans="2:5" x14ac:dyDescent="0.25">
      <c r="B273" s="181" t="s">
        <v>515</v>
      </c>
      <c r="C273" s="184">
        <v>44538</v>
      </c>
      <c r="D273" s="181">
        <v>34369.73630792</v>
      </c>
      <c r="E273" s="212">
        <v>1</v>
      </c>
    </row>
    <row r="274" spans="2:5" x14ac:dyDescent="0.25">
      <c r="B274" s="10" t="s">
        <v>312</v>
      </c>
      <c r="C274" s="125">
        <v>44560</v>
      </c>
      <c r="D274" s="10">
        <v>73786.445899209997</v>
      </c>
      <c r="E274" s="10">
        <v>1</v>
      </c>
    </row>
    <row r="275" spans="2:5" x14ac:dyDescent="0.25">
      <c r="B275" s="10" t="s">
        <v>316</v>
      </c>
      <c r="C275" s="125">
        <v>41849</v>
      </c>
      <c r="D275" s="10">
        <v>4482.8823280400002</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44348</v>
      </c>
      <c r="D278" s="10">
        <v>72547.045827120004</v>
      </c>
      <c r="E278" s="10">
        <v>1</v>
      </c>
    </row>
    <row r="279" spans="2:5" x14ac:dyDescent="0.25">
      <c r="B279" s="10" t="s">
        <v>554</v>
      </c>
      <c r="C279" s="125">
        <v>44481</v>
      </c>
      <c r="D279" s="10">
        <v>6992.6479164800003</v>
      </c>
      <c r="E279" s="10">
        <v>1</v>
      </c>
    </row>
    <row r="280" spans="2:5" x14ac:dyDescent="0.25">
      <c r="B280" s="10" t="s">
        <v>557</v>
      </c>
      <c r="C280" s="125">
        <v>44538</v>
      </c>
      <c r="D280" s="10">
        <v>2486.7305208799999</v>
      </c>
      <c r="E280" s="10">
        <v>1</v>
      </c>
    </row>
    <row r="281" spans="2:5" x14ac:dyDescent="0.25">
      <c r="B281" s="10" t="s">
        <v>562</v>
      </c>
      <c r="C281" s="125">
        <v>44560</v>
      </c>
      <c r="D281" s="10">
        <v>7551.3030721300001</v>
      </c>
      <c r="E281" s="10">
        <v>1</v>
      </c>
    </row>
    <row r="282" spans="2:5" x14ac:dyDescent="0.25">
      <c r="B282" s="10" t="s">
        <v>571</v>
      </c>
      <c r="C282" s="125">
        <v>44292</v>
      </c>
      <c r="D282" s="10">
        <v>66009.315090520002</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44302</v>
      </c>
      <c r="D287" s="10">
        <v>7972.54</v>
      </c>
      <c r="E287" s="10">
        <v>1</v>
      </c>
    </row>
    <row r="288" spans="2:5" x14ac:dyDescent="0.25">
      <c r="B288" s="10" t="s">
        <v>579</v>
      </c>
      <c r="C288" s="125">
        <v>44560</v>
      </c>
      <c r="D288" s="10">
        <v>1200.1199999999999</v>
      </c>
      <c r="E288" s="10">
        <v>1</v>
      </c>
    </row>
    <row r="289" spans="2:5" x14ac:dyDescent="0.25">
      <c r="B289" s="10" t="s">
        <v>580</v>
      </c>
      <c r="C289" s="125">
        <v>44516</v>
      </c>
      <c r="D289" s="10">
        <v>48220.18</v>
      </c>
      <c r="E289" s="10">
        <v>1</v>
      </c>
    </row>
    <row r="290" spans="2:5" x14ac:dyDescent="0.25">
      <c r="B290" s="10" t="s">
        <v>581</v>
      </c>
      <c r="C290" s="125">
        <v>44560</v>
      </c>
      <c r="D290" s="10">
        <v>15097.08</v>
      </c>
      <c r="E290" s="10">
        <v>1</v>
      </c>
    </row>
    <row r="291" spans="2:5" x14ac:dyDescent="0.25">
      <c r="B291" s="10" t="s">
        <v>587</v>
      </c>
      <c r="C291" s="125">
        <v>44503</v>
      </c>
      <c r="D291" s="10">
        <v>12285.34</v>
      </c>
      <c r="E291" s="10">
        <v>1</v>
      </c>
    </row>
    <row r="292" spans="2:5" x14ac:dyDescent="0.25">
      <c r="B292" s="10" t="s">
        <v>592</v>
      </c>
      <c r="C292" s="125">
        <v>44553</v>
      </c>
      <c r="D292" s="10">
        <v>20345.55</v>
      </c>
      <c r="E292" s="10">
        <v>1</v>
      </c>
    </row>
    <row r="293" spans="2:5" x14ac:dyDescent="0.25">
      <c r="B293" s="10" t="s">
        <v>594</v>
      </c>
      <c r="C293" s="125">
        <v>44348</v>
      </c>
      <c r="D293" s="10">
        <v>17141</v>
      </c>
      <c r="E293" s="10">
        <v>1</v>
      </c>
    </row>
    <row r="294" spans="2:5" x14ac:dyDescent="0.25">
      <c r="B294" s="10" t="s">
        <v>597</v>
      </c>
      <c r="C294" s="125">
        <v>44481</v>
      </c>
      <c r="D294" s="10">
        <v>12417.31</v>
      </c>
      <c r="E294" s="10">
        <v>1</v>
      </c>
    </row>
    <row r="295" spans="2:5" x14ac:dyDescent="0.25">
      <c r="B295" s="10" t="s">
        <v>600</v>
      </c>
      <c r="C295" s="125">
        <v>44538</v>
      </c>
      <c r="D295" s="10">
        <v>96090.32</v>
      </c>
      <c r="E295" s="10">
        <v>1</v>
      </c>
    </row>
    <row r="296" spans="2:5" x14ac:dyDescent="0.25">
      <c r="B296" s="10" t="s">
        <v>612</v>
      </c>
      <c r="C296" s="125">
        <v>44302</v>
      </c>
      <c r="D296" s="10">
        <v>18624.3</v>
      </c>
      <c r="E296" s="10">
        <v>1</v>
      </c>
    </row>
    <row r="297" spans="2:5" x14ac:dyDescent="0.25">
      <c r="B297" s="10" t="s">
        <v>613</v>
      </c>
      <c r="C297" s="125">
        <v>44419</v>
      </c>
      <c r="D297" s="10">
        <v>9243.9599999999991</v>
      </c>
      <c r="E297" s="10">
        <v>1</v>
      </c>
    </row>
    <row r="298" spans="2:5" x14ac:dyDescent="0.25">
      <c r="B298" s="10" t="s">
        <v>614</v>
      </c>
      <c r="C298" s="125">
        <v>44307</v>
      </c>
      <c r="D298" s="10">
        <v>12724.48</v>
      </c>
      <c r="E298" s="10">
        <v>1</v>
      </c>
    </row>
    <row r="299" spans="2:5" x14ac:dyDescent="0.25">
      <c r="B299" s="10" t="s">
        <v>616</v>
      </c>
      <c r="C299" s="125">
        <v>44475</v>
      </c>
      <c r="D299" s="10">
        <v>52044.12</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44560</v>
      </c>
      <c r="D319" s="10">
        <v>17762.492574169999</v>
      </c>
      <c r="E319" s="10">
        <v>1</v>
      </c>
    </row>
    <row r="320" spans="2:5" x14ac:dyDescent="0.25">
      <c r="B320" s="10" t="s">
        <v>88</v>
      </c>
      <c r="C320" s="125">
        <v>44560</v>
      </c>
      <c r="D320" s="10">
        <v>4838.9189617900001</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44560</v>
      </c>
      <c r="D323" s="10">
        <v>67129.52584894</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44537</v>
      </c>
      <c r="D331" s="10">
        <v>304.68078198000001</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44552</v>
      </c>
      <c r="D335" s="10">
        <v>19205.786599999999</v>
      </c>
      <c r="E335" s="10">
        <v>1</v>
      </c>
    </row>
    <row r="336" spans="2:5" x14ac:dyDescent="0.25">
      <c r="B336" s="10" t="s">
        <v>57</v>
      </c>
      <c r="C336" s="125">
        <v>44560</v>
      </c>
      <c r="D336" s="10">
        <v>34240.107429830001</v>
      </c>
      <c r="E336" s="10">
        <v>1</v>
      </c>
    </row>
    <row r="337" spans="2:5" x14ac:dyDescent="0.25">
      <c r="B337" s="10" t="s">
        <v>282</v>
      </c>
      <c r="C337" s="125">
        <v>42460</v>
      </c>
      <c r="D337" s="10">
        <v>664.66121383999996</v>
      </c>
      <c r="E337" s="10">
        <v>1</v>
      </c>
    </row>
    <row r="338" spans="2:5" x14ac:dyDescent="0.25">
      <c r="B338" s="10" t="s">
        <v>59</v>
      </c>
      <c r="C338" s="125">
        <v>44266</v>
      </c>
      <c r="D338" s="10">
        <v>12908.477512449999</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44526</v>
      </c>
      <c r="D344" s="10">
        <v>101.04015010000001</v>
      </c>
      <c r="E344" s="10">
        <v>1</v>
      </c>
    </row>
    <row r="345" spans="2:5" x14ac:dyDescent="0.25">
      <c r="B345" s="10" t="s">
        <v>540</v>
      </c>
      <c r="C345" s="125">
        <v>44560</v>
      </c>
      <c r="D345" s="10">
        <v>1200.1804435700001</v>
      </c>
      <c r="E345" s="10">
        <v>1</v>
      </c>
    </row>
    <row r="346" spans="2:5" x14ac:dyDescent="0.25">
      <c r="B346" s="10" t="s">
        <v>513</v>
      </c>
      <c r="C346" s="125">
        <v>44426</v>
      </c>
      <c r="D346" s="10">
        <v>39509.158679679997</v>
      </c>
      <c r="E346" s="10">
        <v>1</v>
      </c>
    </row>
    <row r="347" spans="2:5" x14ac:dyDescent="0.25">
      <c r="B347" s="10" t="s">
        <v>547</v>
      </c>
      <c r="C347" s="125">
        <v>44560</v>
      </c>
      <c r="D347" s="10">
        <v>8861.8686347799994</v>
      </c>
      <c r="E347" s="10">
        <v>1</v>
      </c>
    </row>
    <row r="348" spans="2:5" x14ac:dyDescent="0.25">
      <c r="B348" s="10" t="s">
        <v>548</v>
      </c>
      <c r="C348" s="125">
        <v>44509</v>
      </c>
      <c r="D348" s="10">
        <v>4296.9340221900002</v>
      </c>
      <c r="E348" s="10">
        <v>1</v>
      </c>
    </row>
    <row r="349" spans="2:5" x14ac:dyDescent="0.25">
      <c r="B349" s="10" t="s">
        <v>551</v>
      </c>
      <c r="C349" s="125">
        <v>44470</v>
      </c>
      <c r="D349" s="10">
        <v>35358.506021089997</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569</v>
      </c>
      <c r="C355" s="125">
        <v>44302</v>
      </c>
      <c r="D355" s="10">
        <v>85709.884540219995</v>
      </c>
      <c r="E355" s="10">
        <v>1</v>
      </c>
    </row>
    <row r="356" spans="2:5" x14ac:dyDescent="0.25">
      <c r="B356" s="10" t="s">
        <v>570</v>
      </c>
      <c r="C356" s="125">
        <v>44425</v>
      </c>
      <c r="D356" s="10">
        <v>32933.195235350002</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575</v>
      </c>
      <c r="C364" s="125">
        <v>44287</v>
      </c>
      <c r="D364" s="10">
        <v>18092.11</v>
      </c>
      <c r="E364" s="10">
        <v>1</v>
      </c>
    </row>
    <row r="365" spans="2:5" x14ac:dyDescent="0.25">
      <c r="B365" s="10" t="s">
        <v>576</v>
      </c>
      <c r="C365" s="125">
        <v>44560</v>
      </c>
      <c r="D365" s="10">
        <v>8891.9500000000007</v>
      </c>
      <c r="E365" s="10">
        <v>1</v>
      </c>
    </row>
    <row r="366" spans="2:5" x14ac:dyDescent="0.25">
      <c r="B366" s="10" t="s">
        <v>583</v>
      </c>
      <c r="C366" s="125">
        <v>44302</v>
      </c>
      <c r="D366" s="10">
        <v>10097.94</v>
      </c>
      <c r="E366" s="10">
        <v>1</v>
      </c>
    </row>
    <row r="367" spans="2:5" x14ac:dyDescent="0.25">
      <c r="B367" s="10" t="s">
        <v>590</v>
      </c>
      <c r="C367" s="125">
        <v>44509</v>
      </c>
      <c r="D367" s="10">
        <v>9590.07</v>
      </c>
      <c r="E367" s="10">
        <v>1</v>
      </c>
    </row>
    <row r="368" spans="2:5" x14ac:dyDescent="0.25">
      <c r="B368" s="10" t="s">
        <v>598</v>
      </c>
      <c r="C368" s="125">
        <v>44504</v>
      </c>
      <c r="D368" s="10">
        <v>13987.83</v>
      </c>
      <c r="E368" s="10">
        <v>1</v>
      </c>
    </row>
    <row r="369" spans="2:5" x14ac:dyDescent="0.25">
      <c r="B369" s="10" t="s">
        <v>601</v>
      </c>
      <c r="C369" s="125">
        <v>44426</v>
      </c>
      <c r="D369" s="10">
        <v>12097.07</v>
      </c>
      <c r="E369" s="10">
        <v>1</v>
      </c>
    </row>
    <row r="370" spans="2:5" x14ac:dyDescent="0.25">
      <c r="B370" s="10" t="s">
        <v>611</v>
      </c>
      <c r="C370" s="125">
        <v>44487</v>
      </c>
      <c r="D370" s="10">
        <v>6814.84</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6"/>
      <c r="G2" s="396"/>
      <c r="H2" s="396"/>
      <c r="I2" s="396"/>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2022-01-19T07:06:07Z</cp:lastPrinted>
  <dcterms:created xsi:type="dcterms:W3CDTF">2009-10-22T12:59:48Z</dcterms:created>
  <dcterms:modified xsi:type="dcterms:W3CDTF">2022-01-19T07:07:24Z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2022-01-04T16:40:47Z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d1d7484a-b4d9-4ba5-b6d3-6f996987d299</vt:lpwstr>
  </property>
  <property fmtid="{D5CDD505-2E9C-101B-9397-08002B2CF9AE}" pid="10" name="MSIP_Label_66d8a90e-c522-4829-9625-db8c70f8b095_ContentBits">
    <vt:lpwstr>0</vt:lpwstr>
  </property>
</Properties>
</file>