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xr:revisionPtr revIDLastSave="0" documentId="13_ncr:1_{A1AC17E2-76FA-4F4B-BB5D-0AE09FB0B22A}" xr6:coauthVersionLast="47" xr6:coauthVersionMax="47" xr10:uidLastSave="{00000000-0000-0000-0000-000000000000}"/>
  <bookViews>
    <workbookView xWindow="60" yWindow="0" windowWidth="22920" windowHeight="12360"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9" i="1" l="1"/>
  <c r="I239" i="1"/>
  <c r="H240" i="1"/>
  <c r="I240" i="1"/>
  <c r="H241" i="1"/>
  <c r="I241" i="1"/>
  <c r="H242" i="1"/>
  <c r="I242" i="1"/>
  <c r="H243" i="1"/>
  <c r="I243" i="1"/>
  <c r="I238" i="1"/>
  <c r="H238" i="1"/>
  <c r="H247" i="1"/>
  <c r="I247" i="1"/>
  <c r="H248" i="1"/>
  <c r="I248" i="1"/>
  <c r="H249" i="1"/>
  <c r="I249" i="1"/>
  <c r="H250" i="1"/>
  <c r="I250" i="1"/>
  <c r="H251" i="1"/>
  <c r="I251" i="1"/>
  <c r="H252" i="1"/>
  <c r="I252" i="1"/>
  <c r="H253" i="1"/>
  <c r="I253" i="1"/>
  <c r="I246" i="1"/>
  <c r="H246" i="1"/>
  <c r="H268" i="1" l="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100" i="1" l="1"/>
  <c r="E143" i="1" l="1"/>
  <c r="D145" i="1"/>
  <c r="D144" i="1"/>
  <c r="D142" i="1"/>
  <c r="D141" i="1"/>
  <c r="C145" i="1"/>
  <c r="C144" i="1"/>
  <c r="C142" i="1"/>
  <c r="B142" i="1"/>
  <c r="C141" i="1"/>
  <c r="B145" i="1"/>
  <c r="B144" i="1"/>
  <c r="B141"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F277" i="1"/>
  <c r="G277" i="1" s="1"/>
  <c r="F268" i="1"/>
  <c r="G268" i="1" s="1"/>
  <c r="F269" i="1"/>
  <c r="G269" i="1" s="1"/>
  <c r="F270" i="1"/>
  <c r="G270" i="1" s="1"/>
  <c r="F271" i="1"/>
  <c r="G271" i="1" s="1"/>
  <c r="F272" i="1"/>
  <c r="G272" i="1" s="1"/>
  <c r="F273" i="1"/>
  <c r="G273" i="1" s="1"/>
  <c r="F274" i="1"/>
  <c r="G274" i="1" s="1"/>
  <c r="F267" i="1"/>
  <c r="G267" i="1" s="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77" i="1"/>
  <c r="I277" i="1"/>
  <c r="D31" i="1"/>
  <c r="D30" i="1"/>
  <c r="D29" i="1"/>
  <c r="C31" i="1"/>
  <c r="C30" i="1"/>
  <c r="C29" i="1"/>
  <c r="B30" i="1"/>
  <c r="B29" i="1"/>
  <c r="C18" i="1"/>
  <c r="D18" i="1"/>
  <c r="D17" i="1"/>
  <c r="D16" i="1"/>
  <c r="C17"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D110"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<sst xmlns="http://schemas.openxmlformats.org/spreadsheetml/2006/main" count="2329" uniqueCount="728">
  <si>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</si>
  <si>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</si>
  <si>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</si>
  <si>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</si>
  <si>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</si>
  <si>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</si>
  <si>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</si>
  <si>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</si>
  <si>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</si>
  <si>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</si>
  <si>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</si>
  <si>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</si>
  <si>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</si>
  <si>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</si>
  <si>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</si>
  <si>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</si>
  <si>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</si>
  <si>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</si>
  <si>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</si>
  <si>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</si>
  <si>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</si>
  <si>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</si>
  <si>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</si>
  <si>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</si>
  <si>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</si>
  <si>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</si>
  <si>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</si>
  <si>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</si>
  <si>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</si>
  <si>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</si>
  <si>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</si>
  <si>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</si>
  <si>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</si>
  <si>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</si>
  <si>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</si>
  <si>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</si>
  <si>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</si>
  <si>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</si>
  <si>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</si>
  <si>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</si>
  <si>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</si>
  <si>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</si>
  <si>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</si>
  <si>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</si>
  <si>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</si>
  <si>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</si>
  <si>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</si>
  <si>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</si>
  <si>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</si>
  <si>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</si>
  <si>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</si>
  <si>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</si>
  <si>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</si>
  <si>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</si>
  <si>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</si>
  <si>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</si>
  <si>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</si>
  <si>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</si>
  <si>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</si>
  <si>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</si>
  <si>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</si>
  <si>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</si>
  <si>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</si>
  <si>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</si>
  <si>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</si>
  <si>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</si>
  <si>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</si>
  <si>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</si>
  <si>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</si>
  <si>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</si>
  <si>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</si>
  <si>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</si>
  <si>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</si>
  <si>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</si>
  <si>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</si>
  <si>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</si>
  <si>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</si>
  <si>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</si>
  <si>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</si>
  <si>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</si>
  <si>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</si>
  <si>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</si>
  <si>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</si>
  <si>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</si>
  <si>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</si>
  <si>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</si>
  <si>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</si>
  <si>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</si>
  <si>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</si>
  <si>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</si>
  <si>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</si>
  <si>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</si>
  <si>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</si>
  <si>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</si>
  <si>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</si>
  <si>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</si>
  <si>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</si>
  <si>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</si>
  <si>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</si>
  <si>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</si>
  <si>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</si>
  <si>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</si>
  <si>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</si>
  <si>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</si>
  <si>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</si>
  <si>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</si>
  <si>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</si>
  <si>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</si>
  <si>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</si>
  <si>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</si>
  <si>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</si>
  <si>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</si>
  <si>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</si>
  <si>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</si>
  <si>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</si>
  <si>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</si>
  <si>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</si>
  <si>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</si>
  <si>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</si>
  <si>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</si>
  <si>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</si>
  <si>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</si>
  <si>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</si>
  <si>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</si>
  <si>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</si>
  <si>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</si>
  <si>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</si>
  <si>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</si>
  <si>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</si>
  <si>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</si>
  <si>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</si>
  <si>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</si>
  <si>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</si>
  <si>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</si>
  <si>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</si>
  <si>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</si>
  <si>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</si>
  <si>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</si>
  <si>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</si>
  <si>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</si>
  <si>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</si>
  <si>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</si>
  <si>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</si>
  <si>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</si>
  <si>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</si>
  <si>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</si>
  <si>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</si>
  <si>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</si>
  <si>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</si>
  <si>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</si>
  <si>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</si>
  <si>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</si>
  <si>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</si>
  <si>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</si>
  <si>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</si>
  <si>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</si>
  <si>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</si>
  <si>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</si>
  <si>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</si>
  <si>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</si>
  <si>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</si>
  <si>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</si>
  <si>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</si>
  <si>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</si>
  <si>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</si>
  <si>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</si>
  <si>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</si>
  <si>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</si>
  <si>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</si>
  <si>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</si>
  <si>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</si>
  <si>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</si>
  <si>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</si>
  <si>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</si>
  <si>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</si>
  <si>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</si>
  <si>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</si>
  <si>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</si>
  <si>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</si>
  <si>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</si>
  <si>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</si>
  <si>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</si>
  <si>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</si>
  <si>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</si>
  <si>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</si>
  <si>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</si>
  <si>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</si>
  <si>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</si>
  <si>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</si>
  <si>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</si>
  <si>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</si>
  <si>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</si>
  <si>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</si>
  <si>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</si>
  <si>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</si>
  <si>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</si>
  <si>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</si>
  <si>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</si>
  <si>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</si>
  <si>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</si>
  <si>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</si>
  <si>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</si>
  <si>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</si>
  <si>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</si>
  <si>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</si>
  <si>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</si>
  <si>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</si>
  <si>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</si>
  <si>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</si>
  <si>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</si>
  <si>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</si>
  <si>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</si>
  <si>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</si>
  <si>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</si>
  <si>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</si>
  <si>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</si>
  <si>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</si>
  <si>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</si>
  <si>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</si>
  <si>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</si>
  <si>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</si>
  <si>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</si>
  <si>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</si>
  <si>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</si>
  <si>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</si>
  <si>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</si>
  <si>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</si>
  <si>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</si>
  <si>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</si>
  <si>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</si>
  <si>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</si>
  <si>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</si>
  <si>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</si>
  <si>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</si>
  <si>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</si>
  <si>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</si>
  <si>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</si>
  <si>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</si>
  <si>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</si>
  <si>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</si>
  <si>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</si>
  <si>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</si>
  <si>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</si>
  <si>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</si>
  <si>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</si>
  <si>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</si>
  <si>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</si>
  <si>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</si>
  <si>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</si>
  <si>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</si>
  <si>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</si>
  <si>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</si>
  <si>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</si>
  <si>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</si>
  <si>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</si>
  <si>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</si>
  <si>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</si>
  <si>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</si>
  <si>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</si>
  <si>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</si>
  <si>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</si>
  <si>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</si>
  <si>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</si>
  <si>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</si>
  <si>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</si>
  <si>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</si>
  <si>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</si>
  <si>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</si>
  <si>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</si>
  <si>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</si>
  <si>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</si>
  <si>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</si>
  <si>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</si>
  <si>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</si>
  <si>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</si>
  <si>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</si>
  <si>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</si>
  <si>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</si>
  <si>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</si>
  <si>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</si>
  <si>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</si>
  <si>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</si>
  <si>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</si>
  <si>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</si>
  <si>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</si>
  <si>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</si>
  <si>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</si>
  <si>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</si>
  <si>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</si>
  <si>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</si>
  <si>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</si>
  <si>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</si>
  <si>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</si>
  <si>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</si>
  <si>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</si>
  <si>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</si>
  <si>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</si>
  <si>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</si>
  <si>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</si>
  <si>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</si>
  <si>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</si>
  <si>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</si>
  <si>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</si>
  <si>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</si>
  <si>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</si>
  <si>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</si>
  <si>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</si>
  <si>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</si>
  <si>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</si>
  <si>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</si>
  <si>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</si>
  <si>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</si>
  <si>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</si>
  <si>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</si>
  <si>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</si>
  <si>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</si>
  <si>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</si>
  <si>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</si>
  <si>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</si>
  <si>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</si>
  <si>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</si>
  <si>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</si>
  <si>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</si>
  <si>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</si>
  <si>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</si>
  <si>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</si>
  <si>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</si>
  <si>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</si>
  <si>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</si>
  <si>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</si>
  <si>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</si>
  <si>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</si>
  <si>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</si>
  <si>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</si>
  <si>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</si>
  <si>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</si>
  <si>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</si>
  <si>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</si>
  <si>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</si>
  <si>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</si>
  <si>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</si>
  <si>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</si>
  <si>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</si>
  <si>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</si>
  <si>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</si>
  <si>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</si>
  <si>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</si>
  <si>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</si>
  <si>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</si>
  <si>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</si>
  <si>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</si>
  <si>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</si>
  <si>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</si>
  <si>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</si>
  <si>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</si>
  <si>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</si>
  <si>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</si>
  <si>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</si>
  <si>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</si>
  <si>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</si>
  <si>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</si>
  <si>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</si>
  <si>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</si>
  <si>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</si>
  <si>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</si>
  <si>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</si>
  <si>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</si>
  <si>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</si>
  <si>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</si>
  <si>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</si>
  <si>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</si>
  <si>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</si>
  <si>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</si>
  <si>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</si>
  <si>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</si>
  <si>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</si>
  <si>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</si>
  <si>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</si>
  <si>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</si>
  <si>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</si>
  <si>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</si>
  <si>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</si>
  <si>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</si>
  <si>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</si>
  <si>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</si>
  <si>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</si>
  <si>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</si>
  <si>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</si>
  <si>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</si>
  <si>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</si>
  <si>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</si>
  <si>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</si>
  <si>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</si>
  <si>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</si>
  <si>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</si>
  <si>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</si>
  <si>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</si>
  <si>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</si>
  <si>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</si>
  <si>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</si>
  <si>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</si>
  <si>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</si>
  <si>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</si>
  <si>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</si>
  <si>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</si>
  <si>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</si>
  <si>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</si>
  <si>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</si>
  <si>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</si>
  <si>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</si>
  <si>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</si>
  <si>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</si>
  <si>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</si>
  <si>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</si>
  <si>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</si>
  <si>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</si>
  <si>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</si>
  <si>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</si>
  <si>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</si>
  <si>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</si>
  <si>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</si>
  <si>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</si>
  <si>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</si>
  <si>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</si>
  <si>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</si>
  <si>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</si>
  <si>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</si>
  <si>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</si>
  <si>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</si>
  <si>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</si>
  <si>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</si>
  <si>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</si>
  <si>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</si>
  <si>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</si>
  <si>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</si>
  <si>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</si>
  <si>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</si>
  <si>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</si>
  <si>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</si>
  <si>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</si>
  <si>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</si>
  <si>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</si>
  <si>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</si>
  <si>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</si>
  <si>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</si>
  <si>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</si>
  <si>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</si>
  <si>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</si>
  <si>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</si>
  <si>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</si>
  <si>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</si>
  <si>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</si>
  <si>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</si>
  <si>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</si>
  <si>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</si>
  <si>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</si>
  <si>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</si>
  <si>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</si>
  <si>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</si>
  <si>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</si>
  <si>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</si>
  <si>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</si>
  <si>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</si>
  <si>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</si>
  <si>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</si>
  <si>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</si>
  <si>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</si>
  <si>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</si>
  <si>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</si>
  <si>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</si>
  <si>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</si>
  <si>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</si>
  <si>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</si>
  <si>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</si>
  <si>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</si>
  <si>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</si>
  <si>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</si>
  <si>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</si>
  <si>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</si>
  <si>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</si>
  <si>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</si>
  <si>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</si>
  <si>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</si>
  <si>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</si>
  <si>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</si>
  <si>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</si>
  <si>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</si>
  <si>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</si>
  <si>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</si>
  <si>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</si>
  <si>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</si>
  <si>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</si>
  <si>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</si>
  <si>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</si>
  <si>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</si>
  <si>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</si>
  <si>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</si>
  <si>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</si>
  <si>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</si>
  <si>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</si>
  <si>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</si>
  <si>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</si>
  <si>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 xml:space="preserve">Note: The monthly "local liquidity"  using the value traded and Strate market capitalisation is </t>
  </si>
  <si>
    <t>NOTE:FTSE/JSE Indices were reintroduced in June 2002 and all values are reflective since.</t>
  </si>
  <si>
    <t>09/2016</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</si>
  <si>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</si>
  <si>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</si>
  <si>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</si>
  <si>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</si>
  <si>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</si>
  <si>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</si>
  <si>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</si>
  <si>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</si>
  <si>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</si>
  <si>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</si>
  <si>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</si>
  <si>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</si>
  <si>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</si>
  <si>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</si>
  <si>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</si>
  <si>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</si>
  <si>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</si>
  <si>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</si>
  <si>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</si>
  <si>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</si>
  <si>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</si>
  <si>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</si>
  <si>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</si>
  <si>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</si>
  <si>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</si>
  <si>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</si>
  <si>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</si>
  <si>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</si>
  <si>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</si>
  <si>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</si>
  <si>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</si>
  <si>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</si>
  <si>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</si>
  <si>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</si>
  <si>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</si>
  <si>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</si>
  <si>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</si>
  <si>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</si>
  <si>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</si>
  <si>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</si>
  <si>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</si>
  <si>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</si>
  <si>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</si>
  <si>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</si>
  <si>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</si>
  <si>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</si>
  <si>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</si>
  <si>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</si>
  <si>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</si>
  <si>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</si>
  <si>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</si>
  <si>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</si>
  <si>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</si>
  <si>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</si>
  <si>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</si>
  <si>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</si>
  <si>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</si>
  <si>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</si>
  <si>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</si>
  <si>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</si>
  <si>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</si>
  <si>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</si>
  <si>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</si>
  <si>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</si>
  <si>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</si>
  <si>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</si>
  <si>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</si>
  <si>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</si>
  <si>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</si>
  <si>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</si>
  <si>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</si>
  <si>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</si>
  <si>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</si>
  <si>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</si>
  <si>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</si>
  <si>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</si>
  <si>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</si>
  <si>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</si>
  <si>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</si>
  <si>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</si>
  <si>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</si>
  <si>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</si>
  <si>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</si>
  <si>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</si>
  <si>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</si>
  <si>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</si>
  <si>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</si>
  <si>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</si>
  <si>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</si>
  <si>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</si>
  <si>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</si>
  <si>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</si>
  <si>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</si>
  <si>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</si>
  <si>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</si>
  <si>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</si>
  <si>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</si>
  <si>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</si>
  <si>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</si>
  <si>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</si>
  <si>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</si>
  <si>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</si>
  <si>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</si>
  <si>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</si>
  <si>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</si>
  <si>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</si>
  <si>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</si>
  <si>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</si>
  <si>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</si>
  <si>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</si>
  <si>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</si>
  <si>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</si>
  <si>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</si>
  <si>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</si>
  <si>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</si>
  <si>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</si>
  <si>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JS4023</t>
  </si>
  <si>
    <t>JX4023</t>
  </si>
  <si>
    <t>IndexRank</t>
  </si>
  <si>
    <t>J203VOF</t>
  </si>
  <si>
    <t>J508</t>
  </si>
  <si>
    <t>J203VF</t>
  </si>
  <si>
    <t>J203MF</t>
  </si>
  <si>
    <t>J203LF</t>
  </si>
  <si>
    <t>J203QF</t>
  </si>
  <si>
    <t>J203SF</t>
  </si>
  <si>
    <t>JS51</t>
  </si>
  <si>
    <t>J203CF</t>
  </si>
  <si>
    <t>J203DF</t>
  </si>
  <si>
    <t>SUM_DaysValue</t>
  </si>
  <si>
    <t>SUM_DaysVolume</t>
  </si>
  <si>
    <t>SUM_DaysDeal</t>
  </si>
  <si>
    <t>SUM_OpenInterest</t>
  </si>
  <si>
    <t>FuturesContract</t>
  </si>
  <si>
    <t>BEEF CARCASS</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</si>
  <si>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</si>
  <si>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</si>
  <si>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</si>
  <si>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</si>
  <si>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</si>
  <si>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</si>
  <si>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</si>
  <si>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</si>
  <si>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</si>
  <si>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</si>
  <si>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</si>
  <si>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</si>
  <si>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</si>
  <si>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</si>
  <si>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</si>
  <si>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</si>
  <si>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</si>
  <si>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</si>
  <si>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</si>
  <si>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</si>
  <si>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</si>
  <si>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</si>
  <si>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 xml:space="preserve">QUANTO MAXI HARD RED WINTER WHEAT COMMODITY </t>
  </si>
  <si>
    <t>QUANTO MAXI SOFT RED WHEAT COMMODITY CAN-DO</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</si>
  <si>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</si>
  <si>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</si>
  <si>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</si>
  <si>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</si>
  <si>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</si>
  <si>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</si>
  <si>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</si>
  <si>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</si>
  <si>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</si>
  <si>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</si>
  <si>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</si>
  <si>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</si>
  <si>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</si>
  <si>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</si>
  <si>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</si>
  <si>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</si>
  <si>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MINI BITTER SORGHUM FUTURES</t>
  </si>
  <si>
    <t>MINI SWEET SORGUM FUTURES</t>
  </si>
  <si>
    <t>MainBoardCode</t>
  </si>
  <si>
    <t>TotalCompaniesListed</t>
  </si>
  <si>
    <t>NewListings</t>
  </si>
  <si>
    <t>DeListings</t>
  </si>
  <si>
    <t>LeftBoard</t>
  </si>
  <si>
    <t>JoinedBoard</t>
  </si>
  <si>
    <t>NetListed</t>
  </si>
  <si>
    <t>DomesticLisitings</t>
  </si>
  <si>
    <t>ForeignLisitings</t>
  </si>
  <si>
    <t>BEE</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</si>
  <si>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</si>
  <si>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</si>
  <si>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</si>
  <si>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</si>
  <si>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</si>
  <si>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</si>
  <si>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</si>
  <si>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</si>
  <si>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</si>
  <si>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</si>
  <si>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</si>
  <si>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</si>
  <si>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</si>
  <si>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</si>
  <si>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</si>
  <si>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</si>
  <si>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</si>
  <si>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</si>
  <si>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</si>
  <si>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</si>
  <si>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</si>
  <si>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</si>
  <si>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</si>
  <si>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</si>
  <si>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</si>
  <si>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</si>
  <si>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</si>
  <si>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2022/05</t>
  </si>
  <si>
    <t>CorporateActionTypeCode</t>
  </si>
  <si>
    <t>SUM_TotalValue</t>
  </si>
  <si>
    <t>GI</t>
  </si>
  <si>
    <t>SI</t>
  </si>
  <si>
    <t>SO</t>
  </si>
  <si>
    <t>SS</t>
  </si>
  <si>
    <t>TU</t>
  </si>
  <si>
    <t>Position in the world league in April 2022 (based on the WFE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</si>
</sst>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 #,##0.0_ ;_ * \-#,##0.0_ ;_ * &quot;-&quot;??_ ;_ @_ "/>
    <numFmt numFmtId="167" formatCode="_(* #,##0_);_(* \(#,##0\);_(* &quot;-&quot;??_);_(@_)"/>
    <numFmt numFmtId="168" formatCode="mmm\-yyyy"/>
    <numFmt numFmtId="169" formatCode="#,###,###,"/>
    <numFmt numFmtId="170"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4"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4" fontId="13" fillId="0" borderId="0" applyFont="0" applyFill="0" applyBorder="0" applyAlignment="0" applyProtection="0"/>
    <xf numFmtId="164" fontId="18" fillId="0" borderId="0" applyFont="0" applyFill="0" applyBorder="0" applyAlignment="0" applyProtection="0"/>
    <xf numFmtId="0" fontId="12" fillId="0" borderId="0"/>
    <xf numFmtId="164" fontId="12" fillId="0" borderId="0" applyFont="0" applyFill="0" applyBorder="0" applyAlignment="0" applyProtection="0"/>
    <xf numFmtId="0" fontId="11" fillId="0" borderId="0"/>
    <xf numFmtId="0" fontId="1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9"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8" fillId="0" borderId="0" applyFont="0" applyFill="0" applyBorder="0" applyAlignment="0" applyProtection="0"/>
    <xf numFmtId="0" fontId="4" fillId="0" borderId="0"/>
    <xf numFmtId="164" fontId="4" fillId="0" borderId="0" applyFont="0" applyFill="0" applyBorder="0" applyAlignment="0" applyProtection="0"/>
    <xf numFmtId="164" fontId="1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89">
    <xf numFmtId="0" fontId="0" fillId="0" borderId="0" xfId="0"/>
    <xf numFmtId="0" fontId="22" fillId="0" borderId="0" xfId="0" applyFont="1"/>
    <xf numFmtId="164" fontId="0" fillId="0" borderId="0" xfId="1" applyFont="1"/>
    <xf numFmtId="165" fontId="0" fillId="0" borderId="0" xfId="1" applyNumberFormat="1" applyFont="1"/>
    <xf numFmtId="165" fontId="22" fillId="0" borderId="0" xfId="1" applyNumberFormat="1" applyFont="1"/>
    <xf numFmtId="164"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7" fontId="25" fillId="0" borderId="0" xfId="0" applyNumberFormat="1" applyFont="1"/>
    <xf numFmtId="0" fontId="23" fillId="0" borderId="0" xfId="0" applyFont="1"/>
    <xf numFmtId="165"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4" fontId="0" fillId="0" borderId="0" xfId="0" applyNumberFormat="1"/>
    <xf numFmtId="0" fontId="27" fillId="0" borderId="0" xfId="0" applyFont="1"/>
    <xf numFmtId="167" fontId="19" fillId="0" borderId="0" xfId="0" applyNumberFormat="1" applyFont="1"/>
    <xf numFmtId="166"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5" fontId="0" fillId="0" borderId="0" xfId="0" applyNumberFormat="1" applyFont="1"/>
    <xf numFmtId="0" fontId="0" fillId="0" borderId="0" xfId="0" applyFont="1"/>
    <xf numFmtId="165" fontId="18" fillId="0" borderId="0" xfId="0" applyNumberFormat="1" applyFont="1" applyFill="1"/>
    <xf numFmtId="3" fontId="19" fillId="0" borderId="0" xfId="0" applyNumberFormat="1" applyFont="1"/>
    <xf numFmtId="165" fontId="23" fillId="0" borderId="0" xfId="0" applyNumberFormat="1" applyFont="1" applyFill="1"/>
    <xf numFmtId="165" fontId="0" fillId="0" borderId="0" xfId="0" applyNumberFormat="1" applyFont="1" applyFill="1"/>
    <xf numFmtId="165" fontId="22" fillId="0" borderId="0" xfId="0" applyNumberFormat="1" applyFont="1"/>
    <xf numFmtId="0" fontId="22" fillId="0" borderId="0" xfId="0" applyFont="1"/>
    <xf numFmtId="0" fontId="25" fillId="0" borderId="0" xfId="0" applyFont="1"/>
    <xf numFmtId="165" fontId="19" fillId="0" borderId="0" xfId="0" applyNumberFormat="1" applyFont="1"/>
    <xf numFmtId="166" fontId="0" fillId="0" borderId="0" xfId="0" applyNumberFormat="1" applyFont="1"/>
    <xf numFmtId="166" fontId="22" fillId="0" borderId="0" xfId="0" applyNumberFormat="1" applyFont="1"/>
    <xf numFmtId="0" fontId="22" fillId="0" borderId="0" xfId="0" applyFont="1" applyAlignment="1">
      <alignment horizontal="right"/>
    </xf>
    <xf numFmtId="165" fontId="27" fillId="0" borderId="0" xfId="0" applyNumberFormat="1" applyFont="1"/>
    <xf numFmtId="0" fontId="0" fillId="0" borderId="0" xfId="0"/>
    <xf numFmtId="0" fontId="27" fillId="0" borderId="0" xfId="0" applyFont="1"/>
    <xf numFmtId="0" fontId="0" fillId="0" borderId="0" xfId="0"/>
    <xf numFmtId="165" fontId="0" fillId="0" borderId="0" xfId="0" applyNumberFormat="1" applyFont="1" applyFill="1" applyBorder="1"/>
    <xf numFmtId="165" fontId="0" fillId="0" borderId="0" xfId="0" applyNumberFormat="1" applyFont="1" applyAlignment="1">
      <alignment horizontal="right"/>
    </xf>
    <xf numFmtId="0" fontId="0" fillId="0" borderId="0" xfId="0" applyFont="1" applyAlignment="1">
      <alignment horizontal="right"/>
    </xf>
    <xf numFmtId="0" fontId="45" fillId="0" borderId="0" xfId="0" applyFont="1"/>
    <xf numFmtId="165" fontId="0" fillId="0" borderId="0" xfId="0" applyNumberFormat="1" applyFont="1" applyFill="1" applyBorder="1" applyAlignment="1">
      <alignment horizontal="right"/>
    </xf>
    <xf numFmtId="165" fontId="18" fillId="0" borderId="0" xfId="0" applyNumberFormat="1" applyFont="1"/>
    <xf numFmtId="165" fontId="23" fillId="0" borderId="0" xfId="0" applyNumberFormat="1" applyFont="1"/>
    <xf numFmtId="166" fontId="23" fillId="0" borderId="0" xfId="0" applyNumberFormat="1" applyFont="1"/>
    <xf numFmtId="0" fontId="47" fillId="0" borderId="0" xfId="0" applyFont="1"/>
    <xf numFmtId="166" fontId="0" fillId="0" borderId="0" xfId="0" applyNumberFormat="1" applyFont="1" applyAlignment="1">
      <alignment horizontal="right"/>
    </xf>
    <xf numFmtId="165" fontId="47" fillId="0" borderId="0" xfId="0" applyNumberFormat="1" applyFont="1"/>
    <xf numFmtId="165" fontId="46" fillId="0" borderId="0" xfId="0" applyNumberFormat="1" applyFont="1"/>
    <xf numFmtId="0" fontId="22" fillId="0" borderId="0" xfId="0" applyFont="1"/>
    <xf numFmtId="166"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5" fontId="0" fillId="0" borderId="0" xfId="0" applyNumberFormat="1" applyFont="1"/>
    <xf numFmtId="165" fontId="18" fillId="0" borderId="0" xfId="1" applyNumberFormat="1" applyFont="1"/>
    <xf numFmtId="0" fontId="22" fillId="0" borderId="0" xfId="0" applyFont="1"/>
    <xf numFmtId="0" fontId="22" fillId="0" borderId="0" xfId="0" applyFont="1"/>
    <xf numFmtId="165" fontId="25" fillId="0" borderId="0" xfId="0" quotePrefix="1" applyNumberFormat="1" applyFont="1" applyAlignment="1">
      <alignment horizontal="right"/>
    </xf>
    <xf numFmtId="165" fontId="17" fillId="0" borderId="0" xfId="0" applyNumberFormat="1" applyFont="1"/>
    <xf numFmtId="165" fontId="21" fillId="0" borderId="0" xfId="0" applyNumberFormat="1" applyFont="1"/>
    <xf numFmtId="0" fontId="46" fillId="0" borderId="0" xfId="0" applyFont="1"/>
    <xf numFmtId="165" fontId="17" fillId="0" borderId="0" xfId="0" applyNumberFormat="1" applyFont="1"/>
    <xf numFmtId="0" fontId="17" fillId="0" borderId="0" xfId="0" applyFont="1"/>
    <xf numFmtId="165" fontId="16" fillId="0" borderId="0" xfId="0" applyNumberFormat="1" applyFont="1"/>
    <xf numFmtId="165" fontId="0" fillId="0" borderId="0" xfId="0" applyNumberFormat="1"/>
    <xf numFmtId="0" fontId="22" fillId="0" borderId="0" xfId="0" applyFont="1"/>
    <xf numFmtId="165" fontId="15" fillId="0" borderId="0" xfId="0" applyNumberFormat="1" applyFont="1"/>
    <xf numFmtId="165" fontId="14" fillId="0" borderId="0" xfId="0" applyNumberFormat="1" applyFont="1"/>
    <xf numFmtId="165" fontId="14" fillId="0" borderId="0" xfId="1" applyNumberFormat="1" applyFont="1"/>
    <xf numFmtId="165" fontId="14" fillId="0" borderId="0" xfId="0" applyNumberFormat="1" applyFont="1"/>
    <xf numFmtId="165" fontId="14" fillId="0" borderId="0" xfId="0" applyNumberFormat="1" applyFont="1"/>
    <xf numFmtId="165" fontId="14" fillId="0" borderId="0" xfId="0" applyNumberFormat="1" applyFont="1"/>
    <xf numFmtId="168" fontId="44" fillId="0" borderId="0" xfId="0" applyNumberFormat="1" applyFont="1" applyFill="1" applyBorder="1" applyAlignment="1">
      <alignment horizontal="right"/>
    </xf>
    <xf numFmtId="168"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4" fontId="22" fillId="0" borderId="0" xfId="1" applyFont="1" applyAlignment="1">
      <alignment horizontal="left"/>
    </xf>
    <xf numFmtId="14" fontId="22" fillId="0" borderId="0" xfId="0" applyNumberFormat="1" applyFont="1" applyAlignment="1">
      <alignment horizontal="left"/>
    </xf>
    <xf numFmtId="165" fontId="16" fillId="0" borderId="0" xfId="1" applyNumberFormat="1" applyFont="1"/>
    <xf numFmtId="0" fontId="49" fillId="0" borderId="0" xfId="0" applyFont="1"/>
    <xf numFmtId="170" fontId="0" fillId="0" borderId="0" xfId="0" applyNumberFormat="1"/>
    <xf numFmtId="0" fontId="44" fillId="0" borderId="0" xfId="0" applyFont="1"/>
    <xf numFmtId="3" fontId="44" fillId="0" borderId="0" xfId="0" applyNumberFormat="1" applyFont="1"/>
    <xf numFmtId="170" fontId="44" fillId="0" borderId="0" xfId="0" applyNumberFormat="1" applyFont="1"/>
    <xf numFmtId="165" fontId="44" fillId="0" borderId="0" xfId="1" applyNumberFormat="1" applyFont="1"/>
    <xf numFmtId="165" fontId="44" fillId="0" borderId="0" xfId="0" applyNumberFormat="1" applyFont="1"/>
    <xf numFmtId="169" fontId="0" fillId="0" borderId="0" xfId="1" applyNumberFormat="1" applyFont="1"/>
    <xf numFmtId="169" fontId="44" fillId="0" borderId="0" xfId="0" applyNumberFormat="1" applyFont="1"/>
    <xf numFmtId="169" fontId="0" fillId="0" borderId="0" xfId="0" applyNumberFormat="1"/>
    <xf numFmtId="0" fontId="0" fillId="0" borderId="0" xfId="0" applyBorder="1"/>
    <xf numFmtId="0" fontId="44" fillId="33" borderId="0" xfId="0" applyFont="1" applyFill="1"/>
    <xf numFmtId="0" fontId="0" fillId="33" borderId="0" xfId="0" applyFill="1"/>
    <xf numFmtId="170" fontId="0" fillId="33" borderId="0" xfId="0" applyNumberFormat="1" applyFill="1"/>
    <xf numFmtId="0" fontId="44" fillId="0" borderId="0" xfId="0" applyFont="1" applyFill="1" applyBorder="1" applyAlignment="1">
      <alignment horizontal="right" wrapText="1"/>
    </xf>
    <xf numFmtId="168" fontId="44" fillId="0" borderId="0" xfId="0" applyNumberFormat="1" applyFont="1" applyFill="1" applyBorder="1" applyAlignment="1">
      <alignment horizontal="right" wrapText="1"/>
    </xf>
    <xf numFmtId="14" fontId="0" fillId="0" borderId="0" xfId="0" applyNumberFormat="1" applyBorder="1"/>
    <xf numFmtId="170" fontId="22" fillId="0" borderId="0" xfId="0" applyNumberFormat="1" applyFont="1"/>
    <xf numFmtId="0" fontId="22" fillId="0" borderId="0" xfId="0" applyFont="1"/>
    <xf numFmtId="0" fontId="0" fillId="0" borderId="11" xfId="0" applyFont="1" applyBorder="1"/>
    <xf numFmtId="0" fontId="22" fillId="0" borderId="11" xfId="0" applyFont="1" applyBorder="1"/>
    <xf numFmtId="165" fontId="0" fillId="0" borderId="11" xfId="0" applyNumberFormat="1" applyFont="1" applyBorder="1"/>
    <xf numFmtId="0" fontId="0" fillId="0" borderId="11" xfId="0" applyBorder="1"/>
    <xf numFmtId="0" fontId="0" fillId="0" borderId="11" xfId="0" applyFont="1" applyBorder="1"/>
    <xf numFmtId="165" fontId="22" fillId="0" borderId="11" xfId="0" applyNumberFormat="1" applyFont="1" applyBorder="1"/>
    <xf numFmtId="165" fontId="0" fillId="0" borderId="11" xfId="1" applyNumberFormat="1" applyFont="1" applyBorder="1"/>
    <xf numFmtId="0" fontId="0" fillId="0" borderId="12" xfId="0" applyFont="1" applyBorder="1"/>
    <xf numFmtId="0" fontId="22" fillId="0" borderId="12" xfId="0" applyFont="1" applyBorder="1"/>
    <xf numFmtId="165"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5" fontId="27" fillId="0" borderId="0" xfId="1" applyNumberFormat="1" applyFont="1"/>
    <xf numFmtId="165" fontId="27" fillId="0" borderId="11" xfId="1" applyNumberFormat="1" applyFont="1" applyBorder="1"/>
    <xf numFmtId="165" fontId="0" fillId="0" borderId="0" xfId="0" applyNumberFormat="1" applyFont="1"/>
    <xf numFmtId="0" fontId="0" fillId="0" borderId="0" xfId="0" applyFont="1" applyFill="1"/>
    <xf numFmtId="165"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0" fontId="0" fillId="0" borderId="0" xfId="0" applyNumberFormat="1" applyFont="1"/>
    <xf numFmtId="169" fontId="0" fillId="0" borderId="0" xfId="0" applyNumberFormat="1" applyFont="1"/>
    <xf numFmtId="166" fontId="0" fillId="0" borderId="11" xfId="0" applyNumberFormat="1" applyFont="1" applyBorder="1"/>
    <xf numFmtId="166" fontId="0" fillId="0" borderId="11" xfId="1" applyNumberFormat="1" applyFont="1" applyBorder="1"/>
    <xf numFmtId="165" fontId="0" fillId="0" borderId="11" xfId="0" applyNumberFormat="1" applyFont="1" applyFill="1" applyBorder="1" applyAlignment="1">
      <alignment horizontal="right"/>
    </xf>
    <xf numFmtId="0" fontId="22" fillId="0" borderId="11" xfId="0" applyFont="1" applyBorder="1"/>
    <xf numFmtId="166"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5"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5"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4" fontId="50" fillId="34" borderId="0" xfId="1" applyFont="1" applyFill="1"/>
    <xf numFmtId="164" fontId="27" fillId="0" borderId="11" xfId="1" applyFont="1" applyBorder="1"/>
    <xf numFmtId="164" fontId="27" fillId="0" borderId="0" xfId="1" applyFont="1"/>
    <xf numFmtId="164"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5" fontId="27" fillId="0" borderId="0" xfId="1" applyNumberFormat="1" applyFont="1" applyFill="1"/>
    <xf numFmtId="0" fontId="50" fillId="34" borderId="14" xfId="0" applyFont="1" applyFill="1" applyBorder="1"/>
    <xf numFmtId="164" fontId="50" fillId="34" borderId="12" xfId="1" applyFont="1" applyFill="1" applyBorder="1" applyAlignment="1">
      <alignment horizontal="left"/>
    </xf>
    <xf numFmtId="17" fontId="27" fillId="0" borderId="0" xfId="0" applyNumberFormat="1" applyFont="1" applyFill="1" applyAlignment="1">
      <alignment horizontal="right"/>
    </xf>
    <xf numFmtId="164" fontId="27" fillId="0" borderId="0" xfId="0" applyNumberFormat="1" applyFont="1" applyFill="1" applyAlignment="1">
      <alignment horizontal="right"/>
    </xf>
    <xf numFmtId="10" fontId="56" fillId="0" borderId="0" xfId="43" applyNumberFormat="1" applyFont="1" applyBorder="1"/>
    <xf numFmtId="165" fontId="50" fillId="0" borderId="0" xfId="1" applyNumberFormat="1" applyFont="1"/>
    <xf numFmtId="0" fontId="50" fillId="34" borderId="0" xfId="0" applyFont="1" applyFill="1" applyAlignment="1"/>
    <xf numFmtId="164" fontId="27" fillId="0" borderId="0" xfId="1" applyNumberFormat="1" applyFont="1"/>
    <xf numFmtId="0" fontId="27" fillId="0" borderId="0" xfId="0" applyFont="1" applyFill="1" applyAlignment="1">
      <alignment horizontal="right"/>
    </xf>
    <xf numFmtId="165" fontId="27" fillId="0" borderId="0" xfId="0" applyNumberFormat="1" applyFont="1" applyFill="1" applyAlignment="1">
      <alignment horizontal="right"/>
    </xf>
    <xf numFmtId="164"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5"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5" fontId="19" fillId="0" borderId="0" xfId="0" applyNumberFormat="1" applyFont="1"/>
    <xf numFmtId="165"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5"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5" fontId="0" fillId="0" borderId="0" xfId="0" applyNumberFormat="1" applyFont="1"/>
    <xf numFmtId="165" fontId="21" fillId="0" borderId="0" xfId="0" applyNumberFormat="1" applyFont="1"/>
    <xf numFmtId="165" fontId="22" fillId="0" borderId="0" xfId="0" applyNumberFormat="1" applyFont="1"/>
    <xf numFmtId="165" fontId="14" fillId="0" borderId="0" xfId="0" applyNumberFormat="1" applyFont="1"/>
    <xf numFmtId="0" fontId="6" fillId="0" borderId="0" xfId="586" applyFill="1"/>
    <xf numFmtId="0" fontId="54" fillId="0" borderId="0" xfId="586" applyFont="1" applyFill="1" applyAlignment="1"/>
    <xf numFmtId="164" fontId="14" fillId="0" borderId="0" xfId="46" applyFont="1"/>
    <xf numFmtId="164" fontId="54" fillId="0" borderId="0" xfId="46" applyFont="1" applyFill="1" applyAlignment="1"/>
    <xf numFmtId="164"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5" fontId="27" fillId="0" borderId="0" xfId="0" applyNumberFormat="1" applyFont="1"/>
    <xf numFmtId="165"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5" fontId="54" fillId="0" borderId="0" xfId="335" applyNumberFormat="1" applyFont="1" applyFill="1" applyAlignment="1"/>
    <xf numFmtId="165"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5" fontId="54" fillId="0" borderId="0" xfId="573" applyNumberFormat="1" applyFont="1" applyFill="1" applyAlignment="1"/>
    <xf numFmtId="165" fontId="6" fillId="0" borderId="0" xfId="573" applyNumberFormat="1" applyFont="1" applyFill="1"/>
    <xf numFmtId="165" fontId="54" fillId="0" borderId="0" xfId="46" applyNumberFormat="1" applyFont="1" applyFill="1" applyAlignment="1"/>
    <xf numFmtId="165" fontId="6" fillId="0" borderId="0" xfId="46" applyNumberFormat="1" applyFont="1" applyFill="1"/>
    <xf numFmtId="164" fontId="6" fillId="0" borderId="0" xfId="573" applyNumberFormat="1" applyFont="1" applyFill="1"/>
    <xf numFmtId="164" fontId="54" fillId="0" borderId="0" xfId="573" applyFont="1" applyFill="1" applyAlignment="1"/>
    <xf numFmtId="164" fontId="6" fillId="0" borderId="0" xfId="573" applyFont="1" applyFill="1"/>
    <xf numFmtId="164" fontId="0" fillId="0" borderId="0" xfId="46" applyFont="1"/>
    <xf numFmtId="165"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5" fontId="27" fillId="0" borderId="0" xfId="0" applyNumberFormat="1" applyFont="1" applyFill="1"/>
    <xf numFmtId="0" fontId="50" fillId="0" borderId="0" xfId="0" applyFont="1"/>
    <xf numFmtId="0" fontId="27" fillId="0" borderId="11" xfId="0" applyFont="1" applyBorder="1"/>
    <xf numFmtId="165" fontId="27" fillId="0" borderId="11" xfId="0" applyNumberFormat="1" applyFont="1" applyBorder="1"/>
    <xf numFmtId="10" fontId="27" fillId="0" borderId="11" xfId="43" applyNumberFormat="1" applyFont="1" applyBorder="1"/>
    <xf numFmtId="165"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5" fontId="27" fillId="0" borderId="0" xfId="0" applyNumberFormat="1" applyFont="1" applyAlignment="1">
      <alignment horizontal="right"/>
    </xf>
    <xf numFmtId="0" fontId="50" fillId="0" borderId="11" xfId="0" applyFont="1" applyBorder="1"/>
    <xf numFmtId="165" fontId="50" fillId="0" borderId="11" xfId="0" applyNumberFormat="1" applyFont="1" applyBorder="1"/>
    <xf numFmtId="165"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5" fontId="59" fillId="0" borderId="0" xfId="0" applyNumberFormat="1" applyFont="1" applyFill="1"/>
    <xf numFmtId="165"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5"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6"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8" fontId="50" fillId="34" borderId="12" xfId="0" applyNumberFormat="1" applyFont="1" applyFill="1" applyBorder="1" applyAlignment="1">
      <alignment horizontal="right"/>
    </xf>
    <xf numFmtId="168"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5" fontId="27" fillId="0" borderId="0" xfId="0" applyNumberFormat="1" applyFont="1" applyFill="1" applyBorder="1" applyAlignment="1">
      <alignment horizontal="right"/>
    </xf>
    <xf numFmtId="165"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5" fontId="5" fillId="0" borderId="0" xfId="982" applyNumberFormat="1" applyFont="1" applyFill="1"/>
    <xf numFmtId="0" fontId="5" fillId="0" borderId="0" xfId="1100" applyFill="1"/>
    <xf numFmtId="0" fontId="5" fillId="0" borderId="0" xfId="1100" applyFill="1"/>
    <xf numFmtId="165"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5" fontId="5" fillId="0" borderId="0" xfId="1087" applyNumberFormat="1" applyFont="1" applyFill="1"/>
    <xf numFmtId="164" fontId="5" fillId="0" borderId="0" xfId="1087" applyNumberFormat="1" applyFont="1" applyFill="1"/>
    <xf numFmtId="165" fontId="27" fillId="0" borderId="0" xfId="0" applyNumberFormat="1" applyFont="1" applyFill="1"/>
    <xf numFmtId="165"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5" fontId="27" fillId="0" borderId="0" xfId="0" applyNumberFormat="1" applyFont="1" applyFill="1" applyAlignment="1">
      <alignment horizontal="right"/>
    </xf>
    <xf numFmtId="166" fontId="50" fillId="0" borderId="0" xfId="0" applyNumberFormat="1" applyFont="1"/>
    <xf numFmtId="14" fontId="27" fillId="0" borderId="0" xfId="0" applyNumberFormat="1" applyFont="1" applyFill="1" applyAlignment="1">
      <alignment horizontal="right"/>
    </xf>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5" fontId="27" fillId="0" borderId="0" xfId="0" applyNumberFormat="1" applyFont="1"/>
    <xf numFmtId="165" fontId="27" fillId="0" borderId="0" xfId="0" applyNumberFormat="1" applyFont="1" applyFill="1" applyAlignment="1">
      <alignment horizontal="right"/>
    </xf>
    <xf numFmtId="165" fontId="50" fillId="0" borderId="0" xfId="0" applyNumberFormat="1" applyFont="1"/>
    <xf numFmtId="165" fontId="27" fillId="0" borderId="0" xfId="0" applyNumberFormat="1" applyFont="1" applyFill="1"/>
    <xf numFmtId="165" fontId="50" fillId="0" borderId="11" xfId="0" applyNumberFormat="1" applyFont="1" applyBorder="1"/>
    <xf numFmtId="165" fontId="50" fillId="0" borderId="0" xfId="0" applyNumberFormat="1" applyFont="1" applyFill="1"/>
    <xf numFmtId="165" fontId="27" fillId="0" borderId="11" xfId="0" applyNumberFormat="1" applyFont="1" applyFill="1" applyBorder="1"/>
    <xf numFmtId="166" fontId="27" fillId="0" borderId="0" xfId="0" applyNumberFormat="1" applyFont="1" applyAlignment="1">
      <alignment horizontal="right"/>
    </xf>
    <xf numFmtId="165" fontId="0" fillId="0" borderId="0" xfId="1" applyNumberFormat="1" applyFont="1" applyAlignment="1">
      <alignment horizontal="center"/>
    </xf>
    <xf numFmtId="165" fontId="22" fillId="0" borderId="0" xfId="1" applyNumberFormat="1" applyFont="1" applyAlignment="1">
      <alignment horizontal="center"/>
    </xf>
    <xf numFmtId="0" fontId="51" fillId="0" borderId="0" xfId="0" applyFont="1" applyAlignment="1">
      <alignment horizontal="center" vertical="center"/>
    </xf>
    <xf numFmtId="0" fontId="50" fillId="34" borderId="13" xfId="0" applyFont="1" applyFill="1" applyBorder="1" applyAlignment="1">
      <alignment horizontal="right"/>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165" fontId="27" fillId="0" borderId="0" xfId="0" applyNumberFormat="1" applyFont="1" applyFill="1" applyAlignment="1">
      <alignment horizontal="center"/>
    </xf>
    <xf numFmtId="0" fontId="50" fillId="34" borderId="13" xfId="0" applyFont="1" applyFill="1" applyBorder="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4" fontId="50" fillId="34" borderId="0" xfId="1" applyFont="1" applyFill="1" applyBorder="1" applyAlignment="1">
      <alignment horizontal="right" wrapText="1"/>
    </xf>
    <xf numFmtId="164"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0" fontId="22" fillId="0" borderId="10" xfId="0" applyFont="1" applyBorder="1" applyAlignment="1">
      <alignment horizontal="center"/>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424"/>
  <sheetViews>
    <sheetView showGridLines="0" tabSelected="1" zoomScaleNormal="100" workbookViewId="0">
      <selection activeCell="A11" sqref="A11"/>
    </sheetView>
  </sheetViews>
  <sheetFormatPr defaultColWidth="9.109375" defaultRowHeight="13.2" x14ac:dyDescent="0.25"/>
  <cols>
    <col min="1" max="1" width="35" style="10" customWidth="1"/>
    <col min="2" max="2" width="14" style="10"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44712</v>
      </c>
    </row>
    <row r="7" spans="1:12" x14ac:dyDescent="0.25">
      <c r="A7" s="107" t="str">
        <f>"Market Profile - "&amp; TEXT($H$3,"MMM")&amp;" "&amp;TEXT($H$3,"YYYY")</f>
        <v>Market Profile - May 2022</v>
      </c>
    </row>
    <row r="8" spans="1:12" x14ac:dyDescent="0.25">
      <c r="A8" s="107"/>
      <c r="G8" s="369" t="s">
        <v>179</v>
      </c>
      <c r="H8" s="369"/>
      <c r="I8" s="369"/>
    </row>
    <row r="9" spans="1:12" x14ac:dyDescent="0.25">
      <c r="A9" s="107"/>
      <c r="G9" s="369"/>
      <c r="H9" s="369"/>
      <c r="I9" s="369"/>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1" t="s">
        <v>151</v>
      </c>
      <c r="B13" s="269" t="s">
        <v>1</v>
      </c>
      <c r="C13" s="269" t="s">
        <v>160</v>
      </c>
      <c r="D13" s="269" t="s">
        <v>160</v>
      </c>
      <c r="E13" s="269" t="s">
        <v>2</v>
      </c>
      <c r="F13" s="269"/>
      <c r="G13" s="269"/>
      <c r="H13" s="269"/>
      <c r="I13" s="270"/>
      <c r="K13" s="165"/>
      <c r="L13" s="165"/>
    </row>
    <row r="14" spans="1:12" s="107" customFormat="1" ht="12.75" customHeight="1" x14ac:dyDescent="0.25">
      <c r="A14" s="371"/>
      <c r="B14" s="269" t="s">
        <v>3</v>
      </c>
      <c r="C14" s="269" t="s">
        <v>4</v>
      </c>
      <c r="D14" s="269" t="s">
        <v>4</v>
      </c>
      <c r="E14" s="269" t="s">
        <v>5</v>
      </c>
      <c r="F14" s="269"/>
      <c r="G14" s="269"/>
      <c r="H14" s="269"/>
      <c r="I14" s="270"/>
      <c r="K14" s="165"/>
      <c r="L14" s="165"/>
    </row>
    <row r="15" spans="1:12" s="107" customFormat="1" ht="12.75" customHeight="1" thickBot="1" x14ac:dyDescent="0.3">
      <c r="A15" s="372"/>
      <c r="B15" s="271" t="str">
        <f>TEXT($H$3,"MMM")&amp;" "&amp;TEXT($H$3,"YYYY")</f>
        <v>May 2022</v>
      </c>
      <c r="C15" s="271" t="str">
        <f>TEXT($H$3,"YYYY")</f>
        <v>2022</v>
      </c>
      <c r="D15" s="272">
        <f>TEXT($H$3,"YYYY")-1</f>
        <v>2021</v>
      </c>
      <c r="E15" s="273" t="s">
        <v>6</v>
      </c>
      <c r="F15" s="274">
        <f>TEXT($H$3,"YYYY")-1</f>
        <v>2021</v>
      </c>
      <c r="G15" s="274">
        <f>TEXT($H$3,"YYYY")-2</f>
        <v>2020</v>
      </c>
      <c r="H15" s="274">
        <f>TEXT($H$3,"YYYY")-3</f>
        <v>2019</v>
      </c>
      <c r="I15" s="274">
        <f>TEXT($H$3,"YYYY")-4</f>
        <v>2018</v>
      </c>
      <c r="J15" s="16"/>
      <c r="K15" s="165"/>
      <c r="L15" s="165"/>
    </row>
    <row r="16" spans="1:12" ht="12.75" customHeight="1" x14ac:dyDescent="0.25">
      <c r="A16" s="237" t="s">
        <v>107</v>
      </c>
      <c r="B16" s="126">
        <f>Data!D2</f>
        <v>7769212</v>
      </c>
      <c r="C16" s="126">
        <f>Data!D5</f>
        <v>35521430</v>
      </c>
      <c r="D16" s="238">
        <f>Data!D8</f>
        <v>33548767</v>
      </c>
      <c r="E16" s="275">
        <f>(C16-D16)/ABS(D16)</f>
        <v>5.8799865878826484E-2</v>
      </c>
      <c r="F16" s="362">
        <v>81587931</v>
      </c>
      <c r="G16" s="362">
        <v>92970422</v>
      </c>
      <c r="H16" s="362">
        <v>76554772</v>
      </c>
      <c r="I16" s="362">
        <v>70356164</v>
      </c>
      <c r="J16" s="3"/>
      <c r="K16" s="164"/>
      <c r="L16" s="164"/>
    </row>
    <row r="17" spans="1:12" ht="12.75" customHeight="1" x14ac:dyDescent="0.25">
      <c r="A17" s="237" t="s">
        <v>108</v>
      </c>
      <c r="B17" s="126">
        <f>Data!B2/1000000</f>
        <v>7343.0468270000001</v>
      </c>
      <c r="C17" s="126">
        <f>Data!B5/1000000</f>
        <v>35111.025369000003</v>
      </c>
      <c r="D17" s="238">
        <f>Data!B8/1000000</f>
        <v>54440.727678000003</v>
      </c>
      <c r="E17" s="275">
        <f t="shared" ref="E17:E18" si="0">(C17-D17)/ABS(D17)</f>
        <v>-0.35505958743478205</v>
      </c>
      <c r="F17" s="362">
        <v>122069</v>
      </c>
      <c r="G17" s="362">
        <v>117776</v>
      </c>
      <c r="H17" s="362">
        <v>82472</v>
      </c>
      <c r="I17" s="362">
        <v>91717</v>
      </c>
      <c r="J17" s="3"/>
      <c r="K17" s="164"/>
      <c r="L17" s="164"/>
    </row>
    <row r="18" spans="1:12" ht="12.75" customHeight="1" x14ac:dyDescent="0.25">
      <c r="A18" s="237" t="s">
        <v>109</v>
      </c>
      <c r="B18" s="126">
        <f>Data!C2/1000000</f>
        <v>521952.22303969844</v>
      </c>
      <c r="C18" s="126">
        <f>Data!C5/1000000</f>
        <v>2609010.6029775902</v>
      </c>
      <c r="D18" s="238">
        <f>Data!C8/1000000</f>
        <v>2327498.4526347644</v>
      </c>
      <c r="E18" s="275">
        <f t="shared" si="0"/>
        <v>0.12095052094412767</v>
      </c>
      <c r="F18" s="362">
        <v>5866721</v>
      </c>
      <c r="G18" s="362">
        <v>5791056</v>
      </c>
      <c r="H18" s="362">
        <v>5137534</v>
      </c>
      <c r="I18" s="362">
        <v>5537665</v>
      </c>
      <c r="J18" s="3"/>
      <c r="K18" s="167"/>
      <c r="L18" s="164"/>
    </row>
    <row r="19" spans="1:12" ht="12.75" customHeight="1" x14ac:dyDescent="0.25">
      <c r="A19" s="237"/>
      <c r="B19" s="194"/>
      <c r="C19" s="126"/>
      <c r="D19" s="238"/>
      <c r="E19" s="237"/>
      <c r="F19" s="362"/>
      <c r="G19" s="362"/>
      <c r="H19" s="362"/>
      <c r="I19" s="362"/>
      <c r="J19" s="3"/>
      <c r="K19" s="164"/>
      <c r="L19" s="164"/>
    </row>
    <row r="20" spans="1:12" s="107" customFormat="1" ht="12.75" customHeight="1" x14ac:dyDescent="0.25">
      <c r="A20" s="277" t="s">
        <v>152</v>
      </c>
      <c r="B20" s="192"/>
      <c r="C20" s="192"/>
      <c r="D20" s="239"/>
      <c r="E20" s="237"/>
      <c r="F20" s="362"/>
      <c r="G20" s="362"/>
      <c r="H20" s="362"/>
      <c r="I20" s="362"/>
      <c r="J20" s="3"/>
      <c r="K20" s="164"/>
      <c r="L20" s="164"/>
    </row>
    <row r="21" spans="1:12" ht="12.75" customHeight="1" x14ac:dyDescent="0.25">
      <c r="A21" s="237" t="s">
        <v>107</v>
      </c>
      <c r="B21" s="126">
        <f>Data!F2</f>
        <v>1753</v>
      </c>
      <c r="C21" s="126">
        <f>Data!F5</f>
        <v>8290</v>
      </c>
      <c r="D21" s="238">
        <f>Data!F8</f>
        <v>7054</v>
      </c>
      <c r="E21" s="275">
        <f>(C21-D21)/ABS(D21)</f>
        <v>0.17521973348454778</v>
      </c>
      <c r="F21" s="362">
        <v>18154</v>
      </c>
      <c r="G21" s="362">
        <v>16383</v>
      </c>
      <c r="H21" s="362">
        <v>13577</v>
      </c>
      <c r="I21" s="362">
        <v>21951</v>
      </c>
      <c r="J21" s="3"/>
      <c r="K21" s="164"/>
      <c r="L21" s="164"/>
    </row>
    <row r="22" spans="1:12" ht="12.75" customHeight="1" x14ac:dyDescent="0.25">
      <c r="A22" s="237" t="s">
        <v>108</v>
      </c>
      <c r="B22" s="126">
        <f>Data!G2/1000000</f>
        <v>988.31810599999994</v>
      </c>
      <c r="C22" s="126">
        <f>Data!G5/1000000</f>
        <v>3724.2226129999999</v>
      </c>
      <c r="D22" s="238">
        <f>Data!G8/1000000</f>
        <v>5085.7632169999997</v>
      </c>
      <c r="E22" s="275">
        <f t="shared" ref="E22:E23" si="1">(C22-D22)/ABS(D22)</f>
        <v>-0.26771608230773042</v>
      </c>
      <c r="F22" s="362">
        <v>11396</v>
      </c>
      <c r="G22" s="362">
        <v>9320</v>
      </c>
      <c r="H22" s="362">
        <v>7535</v>
      </c>
      <c r="I22" s="362">
        <v>8350</v>
      </c>
      <c r="J22" s="3"/>
      <c r="K22" s="164"/>
      <c r="L22" s="164"/>
    </row>
    <row r="23" spans="1:12" ht="12.75" customHeight="1" thickBot="1" x14ac:dyDescent="0.3">
      <c r="A23" s="278" t="s">
        <v>109</v>
      </c>
      <c r="B23" s="127">
        <f>Data!H2/1000000</f>
        <v>53805.124876453454</v>
      </c>
      <c r="C23" s="127">
        <f>Data!H5/1000000</f>
        <v>243563.16721982538</v>
      </c>
      <c r="D23" s="279">
        <f>Data!H8/1000000</f>
        <v>175488.31531657427</v>
      </c>
      <c r="E23" s="280">
        <f t="shared" si="1"/>
        <v>0.38791672129535609</v>
      </c>
      <c r="F23" s="365">
        <v>520447</v>
      </c>
      <c r="G23" s="365">
        <v>336907</v>
      </c>
      <c r="H23" s="365">
        <v>237942</v>
      </c>
      <c r="I23" s="365">
        <v>328909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160</v>
      </c>
      <c r="D26" s="269" t="s">
        <v>160</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May 2022</v>
      </c>
      <c r="C28" s="271" t="str">
        <f>$C$15</f>
        <v>2022</v>
      </c>
      <c r="D28" s="271">
        <f>$D$15</f>
        <v>2021</v>
      </c>
      <c r="E28" s="273" t="s">
        <v>6</v>
      </c>
      <c r="F28" s="273">
        <f>$F$15</f>
        <v>2021</v>
      </c>
      <c r="G28" s="283">
        <f>$G$15</f>
        <v>2020</v>
      </c>
      <c r="H28" s="283">
        <f>$H$15</f>
        <v>2019</v>
      </c>
      <c r="I28" s="283">
        <f>$I$15</f>
        <v>2018</v>
      </c>
      <c r="K28" s="165"/>
      <c r="L28" s="165"/>
    </row>
    <row r="29" spans="1:12" ht="12.75" customHeight="1" x14ac:dyDescent="0.25">
      <c r="A29" s="237" t="s">
        <v>10</v>
      </c>
      <c r="B29" s="238">
        <f>Data!O2/1000000</f>
        <v>88499.787660920003</v>
      </c>
      <c r="C29" s="238">
        <f>Data!O5/1000000</f>
        <v>436867.83383770002</v>
      </c>
      <c r="D29" s="238">
        <f>Data!O8/1000000</f>
        <v>445898.15715422999</v>
      </c>
      <c r="E29" s="186">
        <f>C29-D29</f>
        <v>-9030.3233165299753</v>
      </c>
      <c r="F29" s="359">
        <v>976144</v>
      </c>
      <c r="G29" s="359">
        <v>941529</v>
      </c>
      <c r="H29" s="359">
        <v>899391</v>
      </c>
      <c r="I29" s="284">
        <v>1074516</v>
      </c>
      <c r="J29" s="128"/>
    </row>
    <row r="30" spans="1:12" ht="12.75" customHeight="1" x14ac:dyDescent="0.25">
      <c r="A30" s="237" t="s">
        <v>11</v>
      </c>
      <c r="B30" s="238">
        <f>Data!P2/1000000</f>
        <v>-103048.62749329</v>
      </c>
      <c r="C30" s="238">
        <f>Data!P5/1000000</f>
        <v>-436783.66279469</v>
      </c>
      <c r="D30" s="238">
        <f>Data!P8/1000000</f>
        <v>-462235.97143717</v>
      </c>
      <c r="E30" s="186">
        <f>C30-D30</f>
        <v>25452.308642479999</v>
      </c>
      <c r="F30" s="359">
        <v>-1129243</v>
      </c>
      <c r="G30" s="359">
        <v>-1067119</v>
      </c>
      <c r="H30" s="359">
        <v>-1013558</v>
      </c>
      <c r="I30" s="284">
        <v>-1127559</v>
      </c>
      <c r="J30" s="128"/>
    </row>
    <row r="31" spans="1:12" s="107" customFormat="1" ht="12.75" customHeight="1" thickBot="1" x14ac:dyDescent="0.3">
      <c r="A31" s="285" t="s">
        <v>12</v>
      </c>
      <c r="B31" s="286">
        <f>Data!Q2/1000000</f>
        <v>-14548.83983237</v>
      </c>
      <c r="C31" s="286">
        <f>Data!Q5/1000000</f>
        <v>84.171043010000005</v>
      </c>
      <c r="D31" s="286">
        <f>Data!Q8/1000000</f>
        <v>-16337.81428294</v>
      </c>
      <c r="E31" s="287">
        <f>C31-D31</f>
        <v>16421.985325950001</v>
      </c>
      <c r="F31" s="363">
        <v>-153099</v>
      </c>
      <c r="G31" s="363">
        <v>-125590</v>
      </c>
      <c r="H31" s="363">
        <v>-114167</v>
      </c>
      <c r="I31" s="363">
        <v>-53042</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147</v>
      </c>
      <c r="B33" s="118"/>
      <c r="C33" s="118"/>
      <c r="D33" s="118"/>
      <c r="E33" s="118"/>
      <c r="F33" s="118"/>
      <c r="G33" s="117"/>
      <c r="H33" s="118"/>
      <c r="I33" s="118"/>
    </row>
    <row r="34" spans="1:14" s="107" customFormat="1" ht="12.75" customHeight="1" x14ac:dyDescent="0.25">
      <c r="A34" s="288"/>
      <c r="B34" s="269" t="s">
        <v>1</v>
      </c>
      <c r="C34" s="269" t="s">
        <v>160</v>
      </c>
      <c r="D34" s="269" t="s">
        <v>160</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May 2022</v>
      </c>
      <c r="C36" s="271" t="str">
        <f>$C$15</f>
        <v>2022</v>
      </c>
      <c r="D36" s="271">
        <f>$D$15</f>
        <v>2021</v>
      </c>
      <c r="E36" s="273" t="s">
        <v>6</v>
      </c>
      <c r="F36" s="273">
        <f>$F$15</f>
        <v>2021</v>
      </c>
      <c r="G36" s="283">
        <f>$G$15</f>
        <v>2020</v>
      </c>
      <c r="H36" s="283">
        <f>$H$15</f>
        <v>2019</v>
      </c>
      <c r="I36" s="283">
        <f>$I$15</f>
        <v>2018</v>
      </c>
      <c r="K36" s="166"/>
      <c r="L36" s="170"/>
    </row>
    <row r="37" spans="1:14" ht="12.75" customHeight="1" x14ac:dyDescent="0.25">
      <c r="A37" s="291" t="s">
        <v>136</v>
      </c>
      <c r="B37" s="292"/>
      <c r="C37" s="292"/>
      <c r="D37" s="292"/>
      <c r="E37" s="291"/>
      <c r="F37" s="291"/>
      <c r="G37" s="276"/>
      <c r="H37" s="291"/>
      <c r="I37" s="291"/>
      <c r="K37" s="164"/>
      <c r="M37" s="19"/>
      <c r="N37" s="19"/>
    </row>
    <row r="38" spans="1:14" ht="12.75" customHeight="1" x14ac:dyDescent="0.25">
      <c r="A38" s="293" t="s">
        <v>107</v>
      </c>
      <c r="B38" s="276">
        <f>Data!CK1</f>
        <v>26191</v>
      </c>
      <c r="C38" s="276">
        <f>Data!CK6</f>
        <v>133613</v>
      </c>
      <c r="D38" s="276">
        <f>Data!CK11</f>
        <v>141461</v>
      </c>
      <c r="E38" s="275">
        <f t="shared" ref="E38:E40" si="2">IFERROR(IF(OR(AND(D38="",C38=""),AND(D38=0,C38=0)),"",
IF(OR(D38="",D38=0),1,
IF(OR(D38&lt;&gt;"",D38&lt;&gt;0),(C38-D38)/ABS(D38)))),-1)</f>
        <v>-5.5478188334593989E-2</v>
      </c>
      <c r="F38" s="362">
        <v>326302</v>
      </c>
      <c r="G38" s="362">
        <v>335248</v>
      </c>
      <c r="H38" s="362">
        <v>291499</v>
      </c>
      <c r="I38" s="362">
        <v>302385</v>
      </c>
      <c r="J38" s="29"/>
      <c r="K38" s="164"/>
      <c r="M38" s="19"/>
      <c r="N38" s="19"/>
    </row>
    <row r="39" spans="1:14" ht="12.75" customHeight="1" x14ac:dyDescent="0.25">
      <c r="A39" s="293" t="s">
        <v>137</v>
      </c>
      <c r="B39" s="276">
        <f>Data!CK2/1000000</f>
        <v>873380.97841600003</v>
      </c>
      <c r="C39" s="276">
        <f>Data!CK7/1000000</f>
        <v>4170351.058253</v>
      </c>
      <c r="D39" s="276">
        <f>Data!CK12/1000000</f>
        <v>4526977.1393330004</v>
      </c>
      <c r="E39" s="275">
        <f t="shared" si="2"/>
        <v>-7.8777972608128799E-2</v>
      </c>
      <c r="F39" s="362">
        <v>9774042</v>
      </c>
      <c r="G39" s="362">
        <v>10949642</v>
      </c>
      <c r="H39" s="362">
        <v>9916268</v>
      </c>
      <c r="I39" s="362">
        <v>9185860</v>
      </c>
      <c r="J39" s="27"/>
      <c r="K39" s="164"/>
    </row>
    <row r="40" spans="1:14" ht="12.75" customHeight="1" x14ac:dyDescent="0.25">
      <c r="A40" s="293" t="s">
        <v>138</v>
      </c>
      <c r="B40" s="276">
        <f>Data!CK3/1000000</f>
        <v>849085.42379105405</v>
      </c>
      <c r="C40" s="276">
        <f>Data!CK8/1000000</f>
        <v>4079755.2163017509</v>
      </c>
      <c r="D40" s="276">
        <f>Data!CK13/1000000</f>
        <v>4437238.1976820938</v>
      </c>
      <c r="E40" s="275">
        <f t="shared" si="2"/>
        <v>-8.0564298208530574E-2</v>
      </c>
      <c r="F40" s="362">
        <v>9621385</v>
      </c>
      <c r="G40" s="362">
        <v>10566924</v>
      </c>
      <c r="H40" s="362">
        <v>9975147</v>
      </c>
      <c r="I40" s="362">
        <v>9451509</v>
      </c>
      <c r="J40" s="29"/>
      <c r="L40" s="169"/>
    </row>
    <row r="41" spans="1:14" ht="12.75" customHeight="1" x14ac:dyDescent="0.25">
      <c r="A41" s="293"/>
      <c r="B41" s="238"/>
      <c r="C41" s="294"/>
      <c r="D41" s="294"/>
      <c r="E41" s="175"/>
      <c r="F41" s="362"/>
      <c r="G41" s="362"/>
      <c r="H41" s="362"/>
      <c r="I41" s="362"/>
      <c r="M41" s="19"/>
      <c r="N41" s="19"/>
    </row>
    <row r="42" spans="1:14" s="107" customFormat="1" ht="12.75" customHeight="1" x14ac:dyDescent="0.25">
      <c r="A42" s="291" t="s">
        <v>139</v>
      </c>
      <c r="B42" s="276"/>
      <c r="C42" s="276"/>
      <c r="D42" s="276"/>
      <c r="E42" s="175"/>
      <c r="F42" s="362"/>
      <c r="G42" s="362"/>
      <c r="H42" s="362"/>
      <c r="I42" s="295"/>
      <c r="K42" s="165"/>
      <c r="L42" s="165"/>
      <c r="M42" s="16"/>
      <c r="N42" s="16"/>
    </row>
    <row r="43" spans="1:14" ht="12.75" customHeight="1" x14ac:dyDescent="0.25">
      <c r="A43" s="293" t="s">
        <v>107</v>
      </c>
      <c r="B43" s="276">
        <f>Data!CN1</f>
        <v>13116</v>
      </c>
      <c r="C43" s="276">
        <f>Data!CN6</f>
        <v>58141</v>
      </c>
      <c r="D43" s="276">
        <f>Data!CN11</f>
        <v>60184</v>
      </c>
      <c r="E43" s="275">
        <f t="shared" ref="E43:E45" si="3">IFERROR(IF(OR(AND(D43="",C43=""),AND(D43=0,C43=0)),"",
IF(OR(D43="",D43=0),1,
IF(OR(D43&lt;&gt;"",D43&lt;&gt;0),(C43-D43)/ABS(D43)))),-1)</f>
        <v>-3.3945899242323538E-2</v>
      </c>
      <c r="F43" s="362">
        <v>146637</v>
      </c>
      <c r="G43" s="362">
        <v>143567</v>
      </c>
      <c r="H43" s="362">
        <v>177104</v>
      </c>
      <c r="I43" s="362">
        <v>161055</v>
      </c>
      <c r="J43" s="27"/>
      <c r="L43" s="165"/>
      <c r="M43" s="19"/>
      <c r="N43" s="19"/>
    </row>
    <row r="44" spans="1:14" ht="12.75" customHeight="1" x14ac:dyDescent="0.25">
      <c r="A44" s="293" t="s">
        <v>140</v>
      </c>
      <c r="B44" s="276">
        <f>Data!CN2/1000000</f>
        <v>2539289.8851000001</v>
      </c>
      <c r="C44" s="276">
        <f>Data!CN7/1000000</f>
        <v>11369462.823380001</v>
      </c>
      <c r="D44" s="276">
        <f>Data!CN12/1000000</f>
        <v>9236166.3187949993</v>
      </c>
      <c r="E44" s="275">
        <f t="shared" si="3"/>
        <v>0.23097207552920324</v>
      </c>
      <c r="F44" s="362">
        <v>24786516</v>
      </c>
      <c r="G44" s="362">
        <v>21499151</v>
      </c>
      <c r="H44" s="362">
        <v>25798546</v>
      </c>
      <c r="I44" s="362">
        <v>20951365</v>
      </c>
      <c r="J44" s="29"/>
      <c r="L44" s="165"/>
    </row>
    <row r="45" spans="1:14" ht="12.75" customHeight="1" x14ac:dyDescent="0.25">
      <c r="A45" s="293" t="s">
        <v>138</v>
      </c>
      <c r="B45" s="276">
        <f>Data!CN3/1000000</f>
        <v>2374200.7622307884</v>
      </c>
      <c r="C45" s="276">
        <f>Data!CN8/1000000</f>
        <v>10761352.780198734</v>
      </c>
      <c r="D45" s="276">
        <f>Data!CN13/1000000</f>
        <v>8921440.6606307309</v>
      </c>
      <c r="E45" s="275">
        <f t="shared" si="3"/>
        <v>0.20623486604437322</v>
      </c>
      <c r="F45" s="362">
        <v>24122266</v>
      </c>
      <c r="G45" s="362">
        <v>20832617</v>
      </c>
      <c r="H45" s="362">
        <v>25522755</v>
      </c>
      <c r="I45" s="362">
        <v>20334924</v>
      </c>
      <c r="J45" s="29"/>
      <c r="L45" s="165"/>
    </row>
    <row r="46" spans="1:14" ht="12.75" customHeight="1" x14ac:dyDescent="0.25">
      <c r="A46" s="293"/>
      <c r="B46" s="238"/>
      <c r="C46" s="294"/>
      <c r="D46" s="294"/>
      <c r="E46" s="175"/>
      <c r="F46" s="362"/>
      <c r="G46" s="362"/>
      <c r="H46" s="362"/>
      <c r="I46" s="362"/>
      <c r="L46" s="165"/>
    </row>
    <row r="47" spans="1:14" ht="12.75" customHeight="1" x14ac:dyDescent="0.25">
      <c r="A47" s="296" t="s">
        <v>146</v>
      </c>
      <c r="B47" s="238"/>
      <c r="C47" s="294"/>
      <c r="D47" s="294"/>
      <c r="E47" s="175"/>
      <c r="F47" s="362"/>
      <c r="G47" s="362"/>
      <c r="H47" s="362"/>
      <c r="I47" s="362"/>
      <c r="J47" s="27"/>
      <c r="L47" s="165"/>
    </row>
    <row r="48" spans="1:14" s="107" customFormat="1" ht="12.75" customHeight="1" x14ac:dyDescent="0.25">
      <c r="A48" s="293" t="s">
        <v>107</v>
      </c>
      <c r="B48" s="126">
        <f>Data!CQ1</f>
        <v>1034</v>
      </c>
      <c r="C48" s="126">
        <f>Data!CQ6</f>
        <v>4140</v>
      </c>
      <c r="D48" s="238">
        <f>Data!CQ11</f>
        <v>3593</v>
      </c>
      <c r="E48" s="275">
        <f t="shared" ref="E48:E50" si="4">IFERROR(IF(OR(AND(D48="",C48=""),AND(D48=0,C48=0)),"",
IF(OR(D48="",D48=0),1,
IF(OR(D48&lt;&gt;"",D48&lt;&gt;0),(C48-D48)/ABS(D48)))),-1)</f>
        <v>0.15224046757584192</v>
      </c>
      <c r="F48" s="362">
        <v>8564</v>
      </c>
      <c r="G48" s="362">
        <v>10968</v>
      </c>
      <c r="H48" s="362">
        <v>9100</v>
      </c>
      <c r="I48" s="362">
        <v>8603</v>
      </c>
      <c r="J48" s="27"/>
      <c r="K48" s="165"/>
      <c r="L48" s="169"/>
    </row>
    <row r="49" spans="1:12" s="107" customFormat="1" ht="12.75" customHeight="1" x14ac:dyDescent="0.25">
      <c r="A49" s="293" t="s">
        <v>140</v>
      </c>
      <c r="B49" s="126">
        <f>Data!CQ2/1000000</f>
        <v>131498.42692699999</v>
      </c>
      <c r="C49" s="126">
        <f>Data!CQ7/1000000</f>
        <v>488682.22140099999</v>
      </c>
      <c r="D49" s="238">
        <f>Data!CQ12/1000000</f>
        <v>311674.53385299997</v>
      </c>
      <c r="E49" s="275">
        <f t="shared" si="4"/>
        <v>0.56792476869953379</v>
      </c>
      <c r="F49" s="362">
        <v>742690</v>
      </c>
      <c r="G49" s="362">
        <v>967584</v>
      </c>
      <c r="H49" s="362">
        <v>717436</v>
      </c>
      <c r="I49" s="362">
        <v>658610</v>
      </c>
      <c r="J49" s="32"/>
      <c r="K49" s="165"/>
      <c r="L49" s="169"/>
    </row>
    <row r="50" spans="1:12" s="107" customFormat="1" ht="12.75" customHeight="1" thickBot="1" x14ac:dyDescent="0.3">
      <c r="A50" s="297" t="s">
        <v>138</v>
      </c>
      <c r="B50" s="127">
        <f>Data!CQ3/1000000</f>
        <v>33397.032359419965</v>
      </c>
      <c r="C50" s="127">
        <f>Data!CQ8/1000000</f>
        <v>223830.06251585999</v>
      </c>
      <c r="D50" s="279">
        <f>Data!CQ13/1000000</f>
        <v>97924.890837969942</v>
      </c>
      <c r="E50" s="280">
        <f t="shared" si="4"/>
        <v>1.2857320605668816</v>
      </c>
      <c r="F50" s="365">
        <v>250345</v>
      </c>
      <c r="G50" s="365">
        <v>343928</v>
      </c>
      <c r="H50" s="365">
        <v>223466</v>
      </c>
      <c r="I50" s="365">
        <v>206820</v>
      </c>
      <c r="J50" s="32"/>
      <c r="K50" s="16"/>
      <c r="L50" s="169"/>
    </row>
    <row r="51" spans="1:12" s="107" customFormat="1" ht="12.75" customHeight="1" thickTop="1" x14ac:dyDescent="0.25">
      <c r="A51" s="8" t="s">
        <v>141</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142</v>
      </c>
      <c r="B53" s="118"/>
      <c r="C53" s="119"/>
      <c r="D53" s="118"/>
      <c r="E53" s="118"/>
      <c r="F53" s="115"/>
      <c r="G53" s="117"/>
      <c r="H53" s="118"/>
      <c r="I53" s="118"/>
      <c r="J53" s="30"/>
    </row>
    <row r="54" spans="1:12" ht="12.75" customHeight="1" x14ac:dyDescent="0.25">
      <c r="A54" s="288"/>
      <c r="B54" s="269" t="s">
        <v>1</v>
      </c>
      <c r="C54" s="269" t="s">
        <v>160</v>
      </c>
      <c r="D54" s="269" t="s">
        <v>160</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May 2022</v>
      </c>
      <c r="C56" s="271" t="str">
        <f>$C$15</f>
        <v>2022</v>
      </c>
      <c r="D56" s="271">
        <f>$D$15</f>
        <v>2021</v>
      </c>
      <c r="E56" s="273" t="s">
        <v>6</v>
      </c>
      <c r="F56" s="273">
        <f>$F$15</f>
        <v>2021</v>
      </c>
      <c r="G56" s="283">
        <f>$G$15</f>
        <v>2020</v>
      </c>
      <c r="H56" s="283">
        <f>$H$15</f>
        <v>2019</v>
      </c>
      <c r="I56" s="283">
        <f>$I$15</f>
        <v>2018</v>
      </c>
      <c r="J56" s="107"/>
      <c r="L56" s="169"/>
    </row>
    <row r="57" spans="1:12" ht="12.75" customHeight="1" x14ac:dyDescent="0.25">
      <c r="A57" s="293" t="s">
        <v>143</v>
      </c>
      <c r="B57" s="276">
        <f>(SUMIFS(Data!$CZ$14:$CZ$25,Data!$CU$14:$CU$25,"Standard Trade")+SUMIFS(Data!$CZ$14:$CZ$25,Data!$CU$14:$CU$25,"Standard Trade (Spot)"))/1000000</f>
        <v>102322.04904699999</v>
      </c>
      <c r="C57" s="276">
        <f>(SUMIFS(Data!$CZ$1:$CZ$12,Data!$CU$1:$CU$12,"Standard Trade")+SUMIFS(Data!$CZ$1:$CZ$12,Data!$CU$1:$CU$12,"Standard Trade (Spot)"))/1000000</f>
        <v>503861.48177299998</v>
      </c>
      <c r="D57" s="276">
        <f>(SUMIFS(Data!$CZ$27:$CZ$38,Data!$CU$27:$CU$38,"Standard Trade")+SUMIFS(Data!$CZ$27:$CZ$38,Data!$CU$27:$CU$38,"Standard Trade (Spot)"))/1000000</f>
        <v>531444.07247300004</v>
      </c>
      <c r="E57" s="186">
        <f>C57-D57</f>
        <v>-27582.590700000059</v>
      </c>
      <c r="F57" s="362">
        <v>1085163</v>
      </c>
      <c r="G57" s="362">
        <v>1358203</v>
      </c>
      <c r="H57" s="362">
        <v>1367130</v>
      </c>
      <c r="I57" s="294">
        <v>1118355</v>
      </c>
      <c r="J57" s="27"/>
      <c r="L57" s="169"/>
    </row>
    <row r="58" spans="1:12" ht="12.75" customHeight="1" x14ac:dyDescent="0.25">
      <c r="A58" s="293" t="s">
        <v>144</v>
      </c>
      <c r="B58" s="276">
        <f>(SUMIFS(Data!$DC$14:$DC$25,Data!$CU$14:$CU$25,"Standard Trade")+SUMIFS(Data!$DC$14:$DC$25,Data!$CU$14:$CU$25,"Standard Trade (Spot)"))/1000000</f>
        <v>113918.159959</v>
      </c>
      <c r="C58" s="276">
        <f>(SUMIFS(Data!$DC$1:$DC$12,Data!$CU$1:$CU$12,"Standard Trade")+SUMIFS(Data!$DC$1:$DC$12,Data!$CU$1:$CU$12,"Standard Trade (Spot)"))/1000000</f>
        <v>570702.33514800004</v>
      </c>
      <c r="D58" s="276">
        <f>(SUMIFS(Data!$DC$27:$DC$38,Data!$CU$27:$CU$38,"Standard Trade")+SUMIFS(Data!$DC$27:$DC$38,Data!$CU$27:$CU$38,"Standard Trade (Spot)"))/1000000</f>
        <v>561335.79839600006</v>
      </c>
      <c r="E58" s="186">
        <f>C58-D58</f>
        <v>9366.5367519999854</v>
      </c>
      <c r="F58" s="362">
        <v>1245133</v>
      </c>
      <c r="G58" s="362">
        <v>1406571</v>
      </c>
      <c r="H58" s="362">
        <v>1389324</v>
      </c>
      <c r="I58" s="294">
        <v>1183484</v>
      </c>
      <c r="J58" s="27"/>
      <c r="L58" s="169"/>
    </row>
    <row r="59" spans="1:12" ht="12.75" customHeight="1" thickBot="1" x14ac:dyDescent="0.3">
      <c r="A59" s="299" t="s">
        <v>12</v>
      </c>
      <c r="B59" s="286">
        <f>B57-B58</f>
        <v>-11596.110912000004</v>
      </c>
      <c r="C59" s="286">
        <f t="shared" ref="C59" si="5">C57-C58</f>
        <v>-66840.853375000064</v>
      </c>
      <c r="D59" s="286">
        <f>D57-D58</f>
        <v>-29891.72592300002</v>
      </c>
      <c r="E59" s="286">
        <f>E57-E58</f>
        <v>-36949.127452000044</v>
      </c>
      <c r="F59" s="363">
        <v>-159970</v>
      </c>
      <c r="G59" s="363">
        <v>-48367</v>
      </c>
      <c r="H59" s="363">
        <v>-22194</v>
      </c>
      <c r="I59" s="363">
        <v>-65129</v>
      </c>
      <c r="J59" s="33"/>
      <c r="L59" s="169"/>
    </row>
    <row r="60" spans="1:12" ht="12.75" customHeight="1" thickTop="1" x14ac:dyDescent="0.25">
      <c r="A60" s="9" t="s">
        <v>163</v>
      </c>
      <c r="B60" s="31"/>
      <c r="C60" s="31"/>
      <c r="D60" s="31"/>
      <c r="E60" s="31"/>
      <c r="F60" s="107"/>
      <c r="G60" s="27"/>
      <c r="H60" s="31"/>
      <c r="I60" s="31"/>
      <c r="J60" s="30"/>
    </row>
    <row r="61" spans="1:12" ht="12.75" customHeight="1" x14ac:dyDescent="0.25">
      <c r="A61" s="107" t="str">
        <f>"Market Profile - "&amp; TEXT($H$3,"MMM")&amp;" "&amp;TEXT($H$3,"YYYY")</f>
        <v>Market Profile - May 2022</v>
      </c>
      <c r="B61" s="219"/>
      <c r="C61" s="219"/>
      <c r="D61" s="219"/>
      <c r="E61" s="236"/>
      <c r="F61" s="124"/>
      <c r="G61" s="124"/>
      <c r="H61" s="124"/>
      <c r="I61" s="219"/>
    </row>
    <row r="62" spans="1:12" x14ac:dyDescent="0.25">
      <c r="B62" s="19"/>
      <c r="F62" s="24"/>
      <c r="G62" s="27"/>
    </row>
    <row r="63" spans="1:12" ht="13.8" thickBot="1" x14ac:dyDescent="0.3">
      <c r="A63" s="121" t="s">
        <v>145</v>
      </c>
      <c r="B63" s="116"/>
      <c r="C63" s="116"/>
      <c r="D63" s="116"/>
      <c r="E63" s="116"/>
      <c r="F63" s="115"/>
      <c r="G63" s="117"/>
      <c r="H63" s="116"/>
      <c r="I63" s="116"/>
    </row>
    <row r="64" spans="1:12" ht="13.8" x14ac:dyDescent="0.25">
      <c r="A64" s="288"/>
      <c r="B64" s="269" t="s">
        <v>1</v>
      </c>
      <c r="C64" s="269" t="s">
        <v>160</v>
      </c>
      <c r="D64" s="269" t="s">
        <v>160</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May 2022</v>
      </c>
      <c r="C66" s="271" t="str">
        <f>TEXT($H$3,"YYYY")</f>
        <v>2022</v>
      </c>
      <c r="D66" s="272">
        <f>TEXT($H$3,"YYYY")-1</f>
        <v>2021</v>
      </c>
      <c r="E66" s="273" t="s">
        <v>6</v>
      </c>
      <c r="F66" s="273">
        <f>$F$15</f>
        <v>2021</v>
      </c>
      <c r="G66" s="283">
        <f>$G$15</f>
        <v>2020</v>
      </c>
      <c r="H66" s="283">
        <f>$H$15</f>
        <v>2019</v>
      </c>
      <c r="I66" s="283">
        <f>$I$15</f>
        <v>2018</v>
      </c>
    </row>
    <row r="67" spans="1:9" ht="13.8" x14ac:dyDescent="0.25">
      <c r="A67" s="277" t="s">
        <v>14</v>
      </c>
      <c r="B67" s="237"/>
      <c r="C67" s="237"/>
      <c r="D67" s="237"/>
      <c r="E67" s="237"/>
      <c r="F67" s="237"/>
      <c r="G67" s="237"/>
      <c r="H67" s="237"/>
      <c r="I67" s="237"/>
    </row>
    <row r="68" spans="1:9" ht="13.8" x14ac:dyDescent="0.25">
      <c r="A68" s="237" t="s">
        <v>107</v>
      </c>
      <c r="B68" s="126">
        <f>Data!BR20</f>
        <v>622</v>
      </c>
      <c r="C68" s="238">
        <f>Data!BR32</f>
        <v>5950</v>
      </c>
      <c r="D68" s="238">
        <f>Data!BR38</f>
        <v>5470</v>
      </c>
      <c r="E68" s="275">
        <f t="shared" ref="E68:E71" si="6">IFERROR(IF(OR(AND(D68="",C68=""),AND(D68=0,C68=0)),"",
IF(OR(D68="",D68=0),1,
IF(OR(D68&lt;&gt;"",D68&lt;&gt;0),(C68-D68)/ABS(D68)))),-1)</f>
        <v>8.7751371115173671E-2</v>
      </c>
      <c r="F68" s="359">
        <v>11900</v>
      </c>
      <c r="G68" s="359">
        <v>14968</v>
      </c>
      <c r="H68" s="359">
        <v>12780</v>
      </c>
      <c r="I68" s="359">
        <v>12477</v>
      </c>
    </row>
    <row r="69" spans="1:9" ht="13.8" x14ac:dyDescent="0.25">
      <c r="A69" s="237" t="s">
        <v>133</v>
      </c>
      <c r="B69" s="126">
        <f>Data!BQ20</f>
        <v>684191</v>
      </c>
      <c r="C69" s="238">
        <f>Data!BQ32</f>
        <v>5763446</v>
      </c>
      <c r="D69" s="238">
        <f>Data!BQ38</f>
        <v>5844419</v>
      </c>
      <c r="E69" s="275">
        <f t="shared" si="6"/>
        <v>-1.3854756135725382E-2</v>
      </c>
      <c r="F69" s="359">
        <v>12028332</v>
      </c>
      <c r="G69" s="359">
        <v>12515509</v>
      </c>
      <c r="H69" s="359">
        <v>10461871</v>
      </c>
      <c r="I69" s="359">
        <v>11788350</v>
      </c>
    </row>
    <row r="70" spans="1:9" ht="13.8" x14ac:dyDescent="0.25">
      <c r="A70" s="237" t="s">
        <v>109</v>
      </c>
      <c r="B70" s="126">
        <f>Data!BP20/1000000</f>
        <v>62558.854234050006</v>
      </c>
      <c r="C70" s="238">
        <f>Data!BP32/1000000</f>
        <v>583690.26548388996</v>
      </c>
      <c r="D70" s="238">
        <f>Data!BP38/1000000</f>
        <v>594143.64687365002</v>
      </c>
      <c r="E70" s="275">
        <f t="shared" si="6"/>
        <v>-1.7594030407907513E-2</v>
      </c>
      <c r="F70" s="359">
        <v>1205728</v>
      </c>
      <c r="G70" s="359">
        <v>1264935</v>
      </c>
      <c r="H70" s="359">
        <v>1158376</v>
      </c>
      <c r="I70" s="359">
        <v>1282927</v>
      </c>
    </row>
    <row r="71" spans="1:9" ht="13.8" x14ac:dyDescent="0.25">
      <c r="A71" s="237" t="s">
        <v>132</v>
      </c>
      <c r="B71" s="126">
        <f>Data!BP26</f>
        <v>1197381</v>
      </c>
      <c r="C71" s="238">
        <f>B71</f>
        <v>1197381</v>
      </c>
      <c r="D71" s="238">
        <f>Data!BP44</f>
        <v>1021720</v>
      </c>
      <c r="E71" s="275">
        <f t="shared" si="6"/>
        <v>0.17192675096895432</v>
      </c>
      <c r="F71" s="359">
        <v>1071034</v>
      </c>
      <c r="G71" s="359">
        <v>969112</v>
      </c>
      <c r="H71" s="359">
        <v>947574</v>
      </c>
      <c r="I71" s="359">
        <v>829599</v>
      </c>
    </row>
    <row r="72" spans="1:9" ht="13.8" x14ac:dyDescent="0.25">
      <c r="A72" s="237"/>
      <c r="B72" s="126"/>
      <c r="C72" s="238"/>
      <c r="D72" s="238"/>
      <c r="E72" s="237"/>
      <c r="F72" s="359"/>
      <c r="G72" s="359"/>
      <c r="H72" s="359"/>
      <c r="I72" s="359"/>
    </row>
    <row r="73" spans="1:9" ht="13.8" x14ac:dyDescent="0.25">
      <c r="A73" s="277" t="s">
        <v>15</v>
      </c>
      <c r="B73" s="126"/>
      <c r="C73" s="238"/>
      <c r="D73" s="238"/>
      <c r="E73" s="237"/>
      <c r="F73" s="359"/>
      <c r="G73" s="359"/>
      <c r="H73" s="359"/>
      <c r="I73" s="359"/>
    </row>
    <row r="74" spans="1:9" ht="13.8" x14ac:dyDescent="0.25">
      <c r="A74" s="237" t="s">
        <v>107</v>
      </c>
      <c r="B74" s="126">
        <f>Data!BR23</f>
        <v>54</v>
      </c>
      <c r="C74" s="126">
        <f>Data!BR35</f>
        <v>334</v>
      </c>
      <c r="D74" s="126">
        <f>Data!BR41</f>
        <v>585</v>
      </c>
      <c r="E74" s="275">
        <f t="shared" ref="E74:E77" si="7">IFERROR(IF(OR(AND(D74="",C74=""),AND(D74=0,C74=0)),"",
IF(OR(D74="",D74=0),1,
IF(OR(D74&lt;&gt;"",D74&lt;&gt;0),(C74-D74)/ABS(D74)))),-1)</f>
        <v>-0.42905982905982903</v>
      </c>
      <c r="F74" s="126">
        <v>1134</v>
      </c>
      <c r="G74" s="126">
        <v>1774</v>
      </c>
      <c r="H74" s="126">
        <v>1550</v>
      </c>
      <c r="I74" s="126">
        <v>949</v>
      </c>
    </row>
    <row r="75" spans="1:9" ht="13.8" x14ac:dyDescent="0.25">
      <c r="A75" s="237" t="s">
        <v>133</v>
      </c>
      <c r="B75" s="126">
        <f>Data!BQ23</f>
        <v>21560</v>
      </c>
      <c r="C75" s="126">
        <f>Data!BQ35</f>
        <v>226957</v>
      </c>
      <c r="D75" s="126">
        <f>Data!BQ41</f>
        <v>285653</v>
      </c>
      <c r="E75" s="275">
        <f t="shared" si="7"/>
        <v>-0.20548007547618966</v>
      </c>
      <c r="F75" s="126">
        <v>604424</v>
      </c>
      <c r="G75" s="126">
        <v>803665</v>
      </c>
      <c r="H75" s="126">
        <v>961911</v>
      </c>
      <c r="I75" s="126">
        <v>428713</v>
      </c>
    </row>
    <row r="76" spans="1:9" ht="13.8" x14ac:dyDescent="0.25">
      <c r="A76" s="237" t="s">
        <v>176</v>
      </c>
      <c r="B76" s="126">
        <f>Data!BP23/1000000</f>
        <v>21.689430000000002</v>
      </c>
      <c r="C76" s="126">
        <f>Data!BP35/1000000</f>
        <v>367.27567163999998</v>
      </c>
      <c r="D76" s="126">
        <f>Data!BP41/1000000</f>
        <v>536.80271732999995</v>
      </c>
      <c r="E76" s="275">
        <f t="shared" si="7"/>
        <v>-0.31580884413776739</v>
      </c>
      <c r="F76" s="126">
        <v>993</v>
      </c>
      <c r="G76" s="126">
        <v>1574</v>
      </c>
      <c r="H76" s="126">
        <v>93866</v>
      </c>
      <c r="I76" s="126">
        <v>42643</v>
      </c>
    </row>
    <row r="77" spans="1:9" ht="14.4" thickBot="1" x14ac:dyDescent="0.3">
      <c r="A77" s="278" t="s">
        <v>132</v>
      </c>
      <c r="B77" s="127">
        <f>Data!BP29</f>
        <v>103702</v>
      </c>
      <c r="C77" s="127">
        <f>B77</f>
        <v>103702</v>
      </c>
      <c r="D77" s="127">
        <f>Data!BP47</f>
        <v>108556</v>
      </c>
      <c r="E77" s="280">
        <f t="shared" si="7"/>
        <v>-4.4714248866944251E-2</v>
      </c>
      <c r="F77" s="127">
        <v>126584</v>
      </c>
      <c r="G77" s="127">
        <v>155447</v>
      </c>
      <c r="H77" s="127">
        <v>275198</v>
      </c>
      <c r="I77" s="127">
        <v>140000</v>
      </c>
    </row>
    <row r="78" spans="1:9" ht="13.8" thickTop="1" x14ac:dyDescent="0.25">
      <c r="A78" s="9" t="s">
        <v>177</v>
      </c>
      <c r="B78" s="3"/>
      <c r="C78" s="15"/>
      <c r="D78" s="15"/>
      <c r="E78" s="28"/>
      <c r="F78" s="24"/>
      <c r="G78" s="27"/>
      <c r="H78" s="27"/>
      <c r="I78" s="27"/>
    </row>
    <row r="79" spans="1:9" x14ac:dyDescent="0.25">
      <c r="A79" s="9" t="s">
        <v>178</v>
      </c>
      <c r="B79" s="3"/>
      <c r="C79" s="15"/>
      <c r="D79" s="15"/>
      <c r="E79" s="28"/>
      <c r="F79" s="24"/>
      <c r="G79" s="27"/>
      <c r="H79" s="27"/>
      <c r="I79" s="27"/>
    </row>
    <row r="80" spans="1:9" x14ac:dyDescent="0.25">
      <c r="A80" s="35"/>
      <c r="B80" s="19"/>
      <c r="F80" s="24"/>
      <c r="G80" s="27"/>
    </row>
    <row r="81" spans="1:9" ht="13.8" thickBot="1" x14ac:dyDescent="0.3">
      <c r="A81" s="121" t="s">
        <v>148</v>
      </c>
      <c r="B81" s="116"/>
      <c r="C81" s="116"/>
      <c r="D81" s="116"/>
      <c r="E81" s="116"/>
      <c r="F81" s="117"/>
      <c r="G81" s="117"/>
      <c r="H81" s="116"/>
      <c r="I81" s="116"/>
    </row>
    <row r="82" spans="1:9" ht="13.8" x14ac:dyDescent="0.25">
      <c r="A82" s="288"/>
      <c r="B82" s="269" t="s">
        <v>1</v>
      </c>
      <c r="C82" s="269" t="s">
        <v>160</v>
      </c>
      <c r="D82" s="269" t="s">
        <v>160</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May 2022</v>
      </c>
      <c r="C84" s="271" t="str">
        <f>TEXT($H$3,"YYYY")</f>
        <v>2022</v>
      </c>
      <c r="D84" s="271">
        <f>TEXT($H$3,"YYYY")-1</f>
        <v>2021</v>
      </c>
      <c r="E84" s="273" t="s">
        <v>6</v>
      </c>
      <c r="F84" s="273">
        <f>TEXT($H$3,"YYYY")-1</f>
        <v>2021</v>
      </c>
      <c r="G84" s="283">
        <f>TEXT($H$3,"YYYY")-2</f>
        <v>2020</v>
      </c>
      <c r="H84" s="283">
        <f>TEXT($H$3,"YYYY")-3</f>
        <v>2019</v>
      </c>
      <c r="I84" s="283">
        <f>TEXT($H$3,"YYYY")-4</f>
        <v>2018</v>
      </c>
    </row>
    <row r="85" spans="1:9" ht="13.8" x14ac:dyDescent="0.25">
      <c r="A85" s="277" t="s">
        <v>14</v>
      </c>
      <c r="B85" s="302"/>
      <c r="C85" s="302"/>
      <c r="D85" s="302"/>
      <c r="E85" s="300"/>
      <c r="F85" s="300"/>
      <c r="G85" s="303"/>
      <c r="H85" s="303"/>
      <c r="I85" s="303"/>
    </row>
    <row r="86" spans="1:9" ht="13.8" x14ac:dyDescent="0.25">
      <c r="A86" s="237" t="s">
        <v>107</v>
      </c>
      <c r="B86" s="238">
        <f>SUMIFS(Data!$AC:$AC,Data!$AE:$AE,"1")</f>
        <v>38409</v>
      </c>
      <c r="C86" s="238">
        <f>Data!BR76</f>
        <v>191990</v>
      </c>
      <c r="D86" s="238">
        <f>Data!BR82</f>
        <v>183473</v>
      </c>
      <c r="E86" s="275">
        <f>IFERROR(IF(OR(AND(D86="",C86=""),AND(D86=0,C86=0)),"",
IF(OR(D86="",D86=0),1,
IF(OR(D86&lt;&gt;"",D86&lt;&gt;0),(C86-D86)/ABS(D86)))),-1)</f>
        <v>4.6420999275097699E-2</v>
      </c>
      <c r="F86" s="359">
        <v>456788</v>
      </c>
      <c r="G86" s="359">
        <v>479225</v>
      </c>
      <c r="H86" s="359">
        <v>436351</v>
      </c>
      <c r="I86" s="359">
        <v>401483</v>
      </c>
    </row>
    <row r="87" spans="1:9" ht="13.8" x14ac:dyDescent="0.25">
      <c r="A87" s="237" t="s">
        <v>131</v>
      </c>
      <c r="B87" s="238">
        <f>SUMIFS(Data!$AB:$AB,Data!$AE:$AE,"1")/1000</f>
        <v>268.32499999999999</v>
      </c>
      <c r="C87" s="238">
        <f>Data!BQ76</f>
        <v>1266309</v>
      </c>
      <c r="D87" s="238">
        <f>Data!BQ82</f>
        <v>1291527</v>
      </c>
      <c r="E87" s="275">
        <f t="shared" ref="E87:E89" si="8">IFERROR(IF(OR(AND(D87="",C87=""),AND(D87=0,C87=0)),"",
IF(OR(D87="",D87=0),1,
IF(OR(D87&lt;&gt;"",D87&lt;&gt;0),(C87-D87)/ABS(D87)))),-1)</f>
        <v>-1.9525724200887787E-2</v>
      </c>
      <c r="F87" s="359">
        <v>3313674</v>
      </c>
      <c r="G87" s="359">
        <v>3219382</v>
      </c>
      <c r="H87" s="359">
        <v>3206466</v>
      </c>
      <c r="I87" s="359">
        <v>3080836</v>
      </c>
    </row>
    <row r="88" spans="1:9" ht="13.8" x14ac:dyDescent="0.25">
      <c r="A88" s="237" t="s">
        <v>109</v>
      </c>
      <c r="B88" s="238">
        <f>SUMIFS(Data!$AA:$AA,Data!$AE:$AE,"1")/1000000</f>
        <v>123704.73374573102</v>
      </c>
      <c r="C88" s="238">
        <f>Data!BP76/1000000</f>
        <v>511356.41400015249</v>
      </c>
      <c r="D88" s="238">
        <f>Data!BP82/1000000</f>
        <v>422847.62993867247</v>
      </c>
      <c r="E88" s="275">
        <f t="shared" si="8"/>
        <v>0.20931602259262244</v>
      </c>
      <c r="F88" s="359">
        <v>1103552</v>
      </c>
      <c r="G88" s="359">
        <v>912482</v>
      </c>
      <c r="H88" s="359">
        <v>805011</v>
      </c>
      <c r="I88" s="359">
        <v>674379</v>
      </c>
    </row>
    <row r="89" spans="1:9" ht="13.8" x14ac:dyDescent="0.25">
      <c r="A89" s="237" t="s">
        <v>132</v>
      </c>
      <c r="B89" s="238">
        <f>SUMIFS(Data!$AK:$AK,Data!$AL:$AL,"1")</f>
        <v>111818</v>
      </c>
      <c r="C89" s="238">
        <f>B89</f>
        <v>111818</v>
      </c>
      <c r="D89" s="238">
        <f>Data!BP88</f>
        <v>129912</v>
      </c>
      <c r="E89" s="275">
        <f t="shared" si="8"/>
        <v>-0.13927889648377362</v>
      </c>
      <c r="F89" s="359">
        <v>126020</v>
      </c>
      <c r="G89" s="359">
        <v>125413</v>
      </c>
      <c r="H89" s="359">
        <v>114681</v>
      </c>
      <c r="I89" s="359">
        <v>111034</v>
      </c>
    </row>
    <row r="90" spans="1:9" ht="13.8" x14ac:dyDescent="0.25">
      <c r="A90" s="237"/>
      <c r="B90" s="238"/>
      <c r="C90" s="238"/>
      <c r="D90" s="238"/>
      <c r="E90" s="237"/>
      <c r="F90" s="359"/>
      <c r="G90" s="359"/>
      <c r="H90" s="359"/>
      <c r="I90" s="359"/>
    </row>
    <row r="91" spans="1:9" ht="13.8" x14ac:dyDescent="0.25">
      <c r="A91" s="277" t="s">
        <v>15</v>
      </c>
      <c r="B91" s="238"/>
      <c r="C91" s="238"/>
      <c r="D91" s="238"/>
      <c r="E91" s="237"/>
      <c r="F91" s="359"/>
      <c r="G91" s="359"/>
      <c r="H91" s="359"/>
      <c r="I91" s="359"/>
    </row>
    <row r="92" spans="1:9" ht="13.8" x14ac:dyDescent="0.25">
      <c r="A92" s="237" t="s">
        <v>107</v>
      </c>
      <c r="B92" s="238">
        <f>SUMIFS(Data!$AC:$AC,Data!$AE:$AE,"0")</f>
        <v>1359</v>
      </c>
      <c r="C92" s="238">
        <f>Data!BR79</f>
        <v>8777</v>
      </c>
      <c r="D92" s="238">
        <f>Data!BR85</f>
        <v>9374</v>
      </c>
      <c r="E92" s="275">
        <f>IFERROR(IF(OR(AND(D92="",C92=""),AND(D92=0,C92=0)),"",
IF(OR(D92="",D92=0),1,
IF(OR(D92&lt;&gt;"",D92&lt;&gt;0),(C92-D92)/ABS(D92)))),-1)</f>
        <v>-6.3686793257947516E-2</v>
      </c>
      <c r="F92" s="359">
        <v>20475</v>
      </c>
      <c r="G92" s="359">
        <v>21151</v>
      </c>
      <c r="H92" s="359">
        <v>27189</v>
      </c>
      <c r="I92" s="359">
        <v>34033</v>
      </c>
    </row>
    <row r="93" spans="1:9" ht="13.8" x14ac:dyDescent="0.25">
      <c r="A93" s="237" t="s">
        <v>131</v>
      </c>
      <c r="B93" s="238">
        <f>SUMIFS(Data!$AB:$AB,Data!$AE:$AE,"0")/1000</f>
        <v>16.928999999999998</v>
      </c>
      <c r="C93" s="238">
        <f>Data!BQ79</f>
        <v>122716</v>
      </c>
      <c r="D93" s="238">
        <f>Data!BQ85</f>
        <v>124012</v>
      </c>
      <c r="E93" s="275">
        <f t="shared" ref="E93:E94" si="9">IFERROR(IF(OR(AND(D93="",C93=""),AND(D93=0,C93=0)),"",
IF(OR(D93="",D93=0),1,
IF(OR(D93&lt;&gt;"",D93&lt;&gt;0),(C93-D93)/ABS(D93)))),-1)</f>
        <v>-1.0450601554688256E-2</v>
      </c>
      <c r="F93" s="359">
        <v>246067</v>
      </c>
      <c r="G93" s="359">
        <v>276216</v>
      </c>
      <c r="H93" s="359">
        <v>304220</v>
      </c>
      <c r="I93" s="359">
        <v>351110</v>
      </c>
    </row>
    <row r="94" spans="1:9" ht="13.8" x14ac:dyDescent="0.25">
      <c r="A94" s="237" t="s">
        <v>109</v>
      </c>
      <c r="B94" s="238">
        <f>SUMIFS(Data!$AA:$AA,Data!$AE:$AE,"0")/1000000</f>
        <v>500.51743321999999</v>
      </c>
      <c r="C94" s="238">
        <f>Data!BP79/1000000</f>
        <v>2623.5249759000003</v>
      </c>
      <c r="D94" s="238">
        <f>Data!BP85/1000000</f>
        <v>2680.9199297300001</v>
      </c>
      <c r="E94" s="275">
        <f t="shared" si="9"/>
        <v>-2.1408678861878649E-2</v>
      </c>
      <c r="F94" s="359">
        <v>4283</v>
      </c>
      <c r="G94" s="359">
        <v>2849</v>
      </c>
      <c r="H94" s="359">
        <v>4720</v>
      </c>
      <c r="I94" s="359">
        <v>4094</v>
      </c>
    </row>
    <row r="95" spans="1:9" ht="13.8" x14ac:dyDescent="0.25">
      <c r="A95" s="237" t="s">
        <v>132</v>
      </c>
      <c r="B95" s="238">
        <f>SUMIFS(Data!$AK:$AK,Data!$AL:$AL,"0")</f>
        <v>44637</v>
      </c>
      <c r="C95" s="238">
        <f>B95</f>
        <v>44637</v>
      </c>
      <c r="D95" s="238">
        <f>Data!BP91</f>
        <v>58749</v>
      </c>
      <c r="E95" s="275">
        <f>IFERROR(IF(OR(AND(D95="",C95=""),AND(D95=0,C95=0)),"",
IF(OR(D95="",D95=0),1,
IF(OR(D95&lt;&gt;"",D95&lt;&gt;0),(C95-D95)/ABS(D95)))),-1)</f>
        <v>-0.24020834397181229</v>
      </c>
      <c r="F95" s="359">
        <v>26240</v>
      </c>
      <c r="G95" s="359">
        <v>48256</v>
      </c>
      <c r="H95" s="359">
        <v>43126</v>
      </c>
      <c r="I95" s="359">
        <v>71176</v>
      </c>
    </row>
    <row r="96" spans="1:9" ht="12.75" customHeight="1" x14ac:dyDescent="0.25">
      <c r="B96" s="3"/>
      <c r="F96" s="369" t="s">
        <v>180</v>
      </c>
      <c r="G96" s="369"/>
      <c r="H96" s="369"/>
      <c r="I96" s="124"/>
    </row>
    <row r="97" spans="1:10" ht="12.75" customHeight="1" x14ac:dyDescent="0.25">
      <c r="B97" s="3"/>
      <c r="F97" s="369"/>
      <c r="G97" s="369"/>
      <c r="H97" s="369"/>
      <c r="I97" s="124"/>
      <c r="J97" s="155"/>
    </row>
    <row r="98" spans="1:10" ht="13.8" thickBot="1" x14ac:dyDescent="0.3">
      <c r="A98" s="121" t="s">
        <v>110</v>
      </c>
      <c r="B98" s="116"/>
      <c r="C98" s="115"/>
      <c r="D98" s="116"/>
      <c r="E98" s="116"/>
      <c r="F98" s="115"/>
      <c r="G98" s="116"/>
      <c r="H98" s="115"/>
      <c r="I98" s="115"/>
      <c r="J98" s="155"/>
    </row>
    <row r="99" spans="1:10" ht="13.8" x14ac:dyDescent="0.25">
      <c r="A99" s="298"/>
      <c r="B99" s="193" t="s">
        <v>153</v>
      </c>
      <c r="C99" s="270"/>
      <c r="D99" s="187"/>
      <c r="E99" s="270"/>
      <c r="F99" s="270"/>
      <c r="G99" s="270" t="s">
        <v>154</v>
      </c>
      <c r="H99" s="270"/>
      <c r="I99" s="270"/>
      <c r="J99" s="155"/>
    </row>
    <row r="100" spans="1:10" ht="14.4" thickBot="1" x14ac:dyDescent="0.3">
      <c r="A100" s="283"/>
      <c r="B100" s="271" t="str">
        <f>TEXT($H$3,"MMM")&amp;" "&amp;TEXT($H$3,"YYYY")</f>
        <v>May 2022</v>
      </c>
      <c r="C100" s="271" t="str">
        <f>TEXT(DATE(2000,TEXT(H3,"M")-1,1),"mmm")&amp; " "&amp; TEXT(H3,"YYYY")</f>
        <v>Apr 2022</v>
      </c>
      <c r="D100" s="273" t="s">
        <v>111</v>
      </c>
      <c r="E100" s="271"/>
      <c r="F100" s="271"/>
      <c r="G100" s="271" t="str">
        <f>TEXT($H$3,"MMM")&amp;" "&amp;TEXT($H$3,"YYYY")</f>
        <v>May 2022</v>
      </c>
      <c r="H100" s="271" t="str">
        <f>TEXT($H$3,"MMM")&amp;" "&amp;TEXT($H$3,"YYYY")-1</f>
        <v>May 2021</v>
      </c>
      <c r="I100" s="273" t="s">
        <v>111</v>
      </c>
      <c r="J100" s="155"/>
    </row>
    <row r="101" spans="1:10" ht="13.8" x14ac:dyDescent="0.25">
      <c r="A101" s="237" t="s">
        <v>112</v>
      </c>
      <c r="B101" s="307">
        <f>VLOOKUP("ABuy",Data!$J$1:$M$5,4,FALSE)/1000000</f>
        <v>220486.24397222375</v>
      </c>
      <c r="C101" s="307">
        <f>VLOOKUP("ABuy",Data!$J$7:$M$11,4,FALSE)/1000000</f>
        <v>189755.52291189402</v>
      </c>
      <c r="D101" s="177">
        <f>((B101/C101)-1)</f>
        <v>0.161949020448793</v>
      </c>
      <c r="E101" s="307"/>
      <c r="F101" s="307"/>
      <c r="G101" s="307">
        <f>VLOOKUP("Abuy",Data!$J$13:$M$17,4,FALSE)/1000000</f>
        <v>201680.95244448999</v>
      </c>
      <c r="H101" s="307">
        <f>VLOOKUP("Abuy",Data!$J$19:$M$23,4,FALSE)/1000000</f>
        <v>174448.91240426499</v>
      </c>
      <c r="I101" s="191">
        <f>((G101/H101)-1)</f>
        <v>0.15610323770387247</v>
      </c>
      <c r="J101" s="155"/>
    </row>
    <row r="102" spans="1:10" ht="13.8" x14ac:dyDescent="0.25">
      <c r="A102" s="237" t="s">
        <v>113</v>
      </c>
      <c r="B102" s="307">
        <f>VLOOKUP("ASell",Data!$J$1:$M$5,4,FALSE)/1000000</f>
        <v>219038.81893287404</v>
      </c>
      <c r="C102" s="307">
        <f>VLOOKUP("Asell",Data!$J$7:$M$11,4,FALSE)/1000000</f>
        <v>203847.46597904302</v>
      </c>
      <c r="D102" s="191">
        <f t="shared" ref="D102:D104" si="10">((B102/C102)-1)</f>
        <v>7.452313856770143E-2</v>
      </c>
      <c r="E102" s="307"/>
      <c r="F102" s="307"/>
      <c r="G102" s="307">
        <f>VLOOKUP("Asell",Data!$J$13:$M$17,4,FALSE)/1000000</f>
        <v>192327.84651043999</v>
      </c>
      <c r="H102" s="307">
        <f>VLOOKUP("Asell",Data!$J$19:$M$23,4,FALSE)/1000000</f>
        <v>171800.98984155001</v>
      </c>
      <c r="I102" s="191">
        <f t="shared" ref="I102:I104" si="11">((G102/H102)-1)</f>
        <v>0.1194804330744641</v>
      </c>
      <c r="J102" s="155"/>
    </row>
    <row r="103" spans="1:10" ht="13.8" x14ac:dyDescent="0.25">
      <c r="A103" s="237" t="s">
        <v>114</v>
      </c>
      <c r="B103" s="307">
        <f>VLOOKUP("PBuy",Data!$J$1:$M$5,4,FALSE)/1000000</f>
        <v>301465.97906747466</v>
      </c>
      <c r="C103" s="307">
        <f>VLOOKUP("Pbuy",Data!$J$7:$M$11,4,FALSE)/1000000</f>
        <v>265937.52260954556</v>
      </c>
      <c r="D103" s="191">
        <f t="shared" si="10"/>
        <v>0.13359700469983182</v>
      </c>
      <c r="E103" s="307"/>
      <c r="F103" s="307"/>
      <c r="G103" s="307">
        <f>VLOOKUP("Pbuy",Data!$J$13:$M$17,4,FALSE)/1000000</f>
        <v>266466.14571875503</v>
      </c>
      <c r="H103" s="307">
        <f>VLOOKUP("Pbuy",Data!$J$19:$M$23,4,FALSE)/1000000</f>
        <v>228187.20726064002</v>
      </c>
      <c r="I103" s="191">
        <f t="shared" si="11"/>
        <v>0.16775234211264101</v>
      </c>
      <c r="J103" s="155"/>
    </row>
    <row r="104" spans="1:10" ht="13.8" x14ac:dyDescent="0.25">
      <c r="A104" s="237" t="s">
        <v>115</v>
      </c>
      <c r="B104" s="307">
        <f>VLOOKUP("PSell",Data!$J$1:$M$5,4,FALSE)/1000000</f>
        <v>302913.40410682443</v>
      </c>
      <c r="C104" s="307">
        <f>VLOOKUP("Psell",Data!$J$7:$M$11,4,FALSE)/1000000</f>
        <v>251845.57954239653</v>
      </c>
      <c r="D104" s="191">
        <f t="shared" si="10"/>
        <v>0.20277435346380956</v>
      </c>
      <c r="E104" s="307"/>
      <c r="F104" s="307"/>
      <c r="G104" s="307">
        <f>VLOOKUP("Psell",Data!$J$13:$M$17,4,FALSE)/1000000</f>
        <v>275819.25165280502</v>
      </c>
      <c r="H104" s="307">
        <f>VLOOKUP("Psell",Data!$J$19:$M$23,4,FALSE)/1000000</f>
        <v>230835.129823355</v>
      </c>
      <c r="I104" s="191">
        <f t="shared" si="11"/>
        <v>0.19487554543311414</v>
      </c>
      <c r="J104" s="155"/>
    </row>
    <row r="105" spans="1:10" ht="13.8" x14ac:dyDescent="0.25">
      <c r="A105" s="237"/>
      <c r="B105" s="238"/>
      <c r="C105" s="238"/>
      <c r="D105" s="237"/>
      <c r="E105" s="238"/>
      <c r="F105" s="238"/>
      <c r="G105" s="237"/>
      <c r="H105" s="237"/>
      <c r="I105" s="237"/>
      <c r="J105" s="155"/>
    </row>
    <row r="106" spans="1:10" ht="14.4" thickBot="1" x14ac:dyDescent="0.3">
      <c r="A106" s="267" t="s">
        <v>116</v>
      </c>
      <c r="B106" s="268"/>
      <c r="C106" s="268"/>
      <c r="D106" s="268"/>
      <c r="E106" s="268"/>
      <c r="F106" s="268"/>
      <c r="G106" s="268"/>
      <c r="H106" s="267"/>
      <c r="I106" s="267"/>
      <c r="J106" s="155"/>
    </row>
    <row r="107" spans="1:10" ht="14.4" thickBot="1" x14ac:dyDescent="0.3">
      <c r="A107" s="283"/>
      <c r="B107" s="273" t="s">
        <v>117</v>
      </c>
      <c r="C107" s="273" t="s">
        <v>4</v>
      </c>
      <c r="D107" s="374" t="s">
        <v>118</v>
      </c>
      <c r="E107" s="374"/>
      <c r="F107" s="273" t="s">
        <v>119</v>
      </c>
      <c r="G107" s="370" t="s">
        <v>120</v>
      </c>
      <c r="H107" s="370"/>
      <c r="I107" s="273" t="s">
        <v>28</v>
      </c>
      <c r="J107" s="155"/>
    </row>
    <row r="108" spans="1:10" ht="13.8" x14ac:dyDescent="0.25">
      <c r="A108" s="277"/>
      <c r="B108" s="300"/>
      <c r="C108" s="300"/>
      <c r="D108" s="300"/>
      <c r="E108" s="300"/>
      <c r="F108" s="300"/>
      <c r="G108" s="300"/>
      <c r="H108" s="237"/>
      <c r="I108" s="300"/>
      <c r="J108" s="155"/>
    </row>
    <row r="109" spans="1:10" ht="13.8" x14ac:dyDescent="0.25">
      <c r="A109" s="237" t="s">
        <v>107</v>
      </c>
      <c r="B109" s="196">
        <v>667996</v>
      </c>
      <c r="C109" s="319">
        <v>42349</v>
      </c>
      <c r="D109" s="373">
        <v>1959547</v>
      </c>
      <c r="E109" s="373"/>
      <c r="F109" s="319">
        <v>42349</v>
      </c>
      <c r="G109" s="373">
        <v>7331360</v>
      </c>
      <c r="H109" s="373"/>
      <c r="I109" s="189" t="s">
        <v>504</v>
      </c>
    </row>
    <row r="110" spans="1:10" ht="13.8" x14ac:dyDescent="0.25">
      <c r="A110" s="237" t="s">
        <v>493</v>
      </c>
      <c r="B110" s="346">
        <v>1391491</v>
      </c>
      <c r="C110" s="348">
        <v>43012</v>
      </c>
      <c r="D110" s="373">
        <f>2513652909/1000000</f>
        <v>2513.6529089999999</v>
      </c>
      <c r="E110" s="373"/>
      <c r="F110" s="319">
        <v>42349</v>
      </c>
      <c r="G110" s="373">
        <v>9748834</v>
      </c>
      <c r="H110" s="373"/>
      <c r="I110" s="195" t="s">
        <v>121</v>
      </c>
    </row>
    <row r="111" spans="1:10" ht="13.8" x14ac:dyDescent="0.25">
      <c r="A111" s="237" t="s">
        <v>492</v>
      </c>
      <c r="B111" s="346">
        <v>74815</v>
      </c>
      <c r="C111" s="348">
        <v>43090</v>
      </c>
      <c r="D111" s="373">
        <v>165827</v>
      </c>
      <c r="E111" s="373"/>
      <c r="F111" s="319">
        <v>42631</v>
      </c>
      <c r="G111" s="373">
        <v>612552</v>
      </c>
      <c r="H111" s="373"/>
      <c r="I111" s="195" t="s">
        <v>504</v>
      </c>
    </row>
    <row r="112" spans="1:10" ht="13.8" x14ac:dyDescent="0.25">
      <c r="A112" s="237" t="s">
        <v>468</v>
      </c>
      <c r="B112" s="190">
        <v>16176.59</v>
      </c>
      <c r="C112" s="348">
        <v>43039</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May 2022</v>
      </c>
      <c r="G122" s="124"/>
      <c r="H122" s="124"/>
    </row>
    <row r="123" spans="1:11" ht="12.75" customHeight="1" x14ac:dyDescent="0.25">
      <c r="F123" s="369" t="s">
        <v>180</v>
      </c>
      <c r="G123" s="369"/>
      <c r="H123" s="369"/>
    </row>
    <row r="124" spans="1:11" x14ac:dyDescent="0.25">
      <c r="F124" s="369"/>
      <c r="G124" s="369"/>
      <c r="H124" s="369"/>
    </row>
    <row r="125" spans="1:11" x14ac:dyDescent="0.25">
      <c r="K125" s="125"/>
    </row>
    <row r="126" spans="1:11" ht="13.8" thickBot="1" x14ac:dyDescent="0.3">
      <c r="A126" s="115" t="s">
        <v>727</v>
      </c>
      <c r="B126" s="120"/>
      <c r="C126" s="120"/>
      <c r="D126" s="120"/>
      <c r="E126" s="120"/>
      <c r="F126" s="120"/>
      <c r="G126" s="120"/>
      <c r="H126" s="120"/>
      <c r="I126" s="120"/>
      <c r="K126" s="125"/>
    </row>
    <row r="127" spans="1:11" ht="13.8" x14ac:dyDescent="0.25">
      <c r="A127" s="270"/>
      <c r="B127" s="270"/>
      <c r="C127" s="270"/>
      <c r="D127" s="270"/>
      <c r="E127" s="304"/>
      <c r="F127" s="382" t="s">
        <v>185</v>
      </c>
      <c r="G127" s="382"/>
      <c r="H127" s="382"/>
      <c r="I127" s="382"/>
    </row>
    <row r="128" spans="1:11" ht="14.4" thickBot="1" x14ac:dyDescent="0.3">
      <c r="A128" s="283"/>
      <c r="B128" s="305" t="str">
        <f>TEXT(DATE(2000,TEXT(H3,"M")-1,1),"mmm")&amp; " "&amp; TEXT(H3,"YYYY")</f>
        <v>Apr 2022</v>
      </c>
      <c r="C128" s="273" t="s">
        <v>16</v>
      </c>
      <c r="D128" s="305" t="str">
        <f>TEXT(DATE(2000,TEXT(H3,"M")-1,1),"mmm")&amp; " "&amp; TEXT(H3,"YYYY")-1</f>
        <v>Apr 2021</v>
      </c>
      <c r="E128" s="306" t="s">
        <v>16</v>
      </c>
      <c r="F128" s="283">
        <f>TEXT($H$3,"YYYY")-1</f>
        <v>2021</v>
      </c>
      <c r="G128" s="273">
        <f>TEXT($H$3,"YYYY")-2</f>
        <v>2020</v>
      </c>
      <c r="H128" s="283">
        <f>TEXT($H$3,"YYYY")-3</f>
        <v>2019</v>
      </c>
      <c r="I128" s="273">
        <f>TEXT($H$3,"YYYY")-4</f>
        <v>2018</v>
      </c>
    </row>
    <row r="129" spans="1:11" ht="13.8" x14ac:dyDescent="0.25">
      <c r="A129" s="237" t="s">
        <v>17</v>
      </c>
      <c r="B129" s="362">
        <v>1195593.6100000001</v>
      </c>
      <c r="C129" s="325">
        <v>18</v>
      </c>
      <c r="D129" s="362">
        <v>1154969</v>
      </c>
      <c r="E129" s="325">
        <v>18</v>
      </c>
      <c r="F129" s="293">
        <v>19</v>
      </c>
      <c r="G129" s="325">
        <v>19</v>
      </c>
      <c r="H129" s="293">
        <v>17</v>
      </c>
      <c r="I129" s="325">
        <v>18</v>
      </c>
      <c r="K129" s="125"/>
    </row>
    <row r="130" spans="1:11" ht="13.8" x14ac:dyDescent="0.25">
      <c r="A130" s="237" t="s">
        <v>18</v>
      </c>
      <c r="B130" s="362">
        <v>28813.98</v>
      </c>
      <c r="C130" s="325">
        <v>22</v>
      </c>
      <c r="D130" s="362">
        <v>25073</v>
      </c>
      <c r="E130" s="325">
        <v>25</v>
      </c>
      <c r="F130" s="293">
        <v>23</v>
      </c>
      <c r="G130" s="325">
        <v>19</v>
      </c>
      <c r="H130" s="293">
        <v>20</v>
      </c>
      <c r="I130" s="325">
        <v>20</v>
      </c>
      <c r="K130" s="251"/>
    </row>
    <row r="131" spans="1:11" ht="13.8" x14ac:dyDescent="0.25">
      <c r="A131" s="237" t="s">
        <v>149</v>
      </c>
      <c r="B131" s="343">
        <v>0.2555296025712282</v>
      </c>
      <c r="C131" s="325">
        <v>35</v>
      </c>
      <c r="D131" s="343">
        <v>0.23760000000000001</v>
      </c>
      <c r="E131" s="325">
        <v>38</v>
      </c>
      <c r="F131" s="293">
        <v>37</v>
      </c>
      <c r="G131" s="325">
        <v>30</v>
      </c>
      <c r="H131" s="293">
        <v>25</v>
      </c>
      <c r="I131" s="325">
        <v>22</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150</v>
      </c>
      <c r="K136" s="251"/>
    </row>
    <row r="137" spans="1:11" ht="13.8" thickBot="1" x14ac:dyDescent="0.3">
      <c r="A137" s="116" t="s">
        <v>134</v>
      </c>
      <c r="B137" s="116"/>
      <c r="C137" s="116"/>
      <c r="D137" s="116"/>
      <c r="E137" s="116"/>
      <c r="F137" s="116"/>
      <c r="G137" s="116"/>
      <c r="H137" s="116"/>
      <c r="I137" s="116"/>
    </row>
    <row r="138" spans="1:11" ht="13.8" x14ac:dyDescent="0.25">
      <c r="A138" s="270"/>
      <c r="B138" s="269" t="s">
        <v>1</v>
      </c>
      <c r="C138" s="269" t="s">
        <v>162</v>
      </c>
      <c r="D138" s="269" t="s">
        <v>162</v>
      </c>
      <c r="E138" s="269" t="s">
        <v>2</v>
      </c>
      <c r="F138" s="308"/>
      <c r="G138" s="270"/>
      <c r="H138" s="270"/>
      <c r="I138" s="270"/>
    </row>
    <row r="139" spans="1:11" ht="13.8" x14ac:dyDescent="0.25">
      <c r="A139" s="270"/>
      <c r="B139" s="269" t="s">
        <v>3</v>
      </c>
      <c r="C139" s="269" t="s">
        <v>161</v>
      </c>
      <c r="D139" s="269" t="s">
        <v>161</v>
      </c>
      <c r="E139" s="269" t="s">
        <v>5</v>
      </c>
      <c r="F139" s="308"/>
      <c r="G139" s="270"/>
      <c r="H139" s="270"/>
      <c r="I139" s="270"/>
    </row>
    <row r="140" spans="1:11" ht="14.4" thickBot="1" x14ac:dyDescent="0.3">
      <c r="A140" s="283"/>
      <c r="B140" s="271" t="str">
        <f>TEXT($H$3,"MMM")&amp;" "&amp;TEXT($H$3,"YYYY")</f>
        <v>May 2022</v>
      </c>
      <c r="C140" s="271" t="str">
        <f>TEXT($H$3,"YYYY")</f>
        <v>2022</v>
      </c>
      <c r="D140" s="271">
        <f>TEXT($H$3,"YYYY")-1</f>
        <v>2021</v>
      </c>
      <c r="E140" s="273" t="s">
        <v>6</v>
      </c>
      <c r="F140" s="273">
        <f>TEXT($H$3,"YYYY")-1</f>
        <v>2021</v>
      </c>
      <c r="G140" s="273">
        <f>TEXT($H$3,"YYYY")-2</f>
        <v>2020</v>
      </c>
      <c r="H140" s="273">
        <f>TEXT($H$3,"YYYY")-3</f>
        <v>2019</v>
      </c>
      <c r="I140" s="273">
        <f>TEXT($H$3,"YYYY")-4</f>
        <v>2018</v>
      </c>
    </row>
    <row r="141" spans="1:11" ht="13.8" x14ac:dyDescent="0.25">
      <c r="A141" s="237" t="s">
        <v>21</v>
      </c>
      <c r="B141" s="186">
        <f>SUMIF(Data!$DG$1:$DG$15,"AS",Data!$DH$1:$DH$15)/1000000</f>
        <v>0</v>
      </c>
      <c r="C141" s="341">
        <f>SUMIF(Data!$DJ$1:$DJ$15,"AS",Data!$DK$1:$DK$15)/1000000</f>
        <v>0</v>
      </c>
      <c r="D141" s="341">
        <f>SUMIF(Data!$DM$1:$DM$15,"AS",Data!$DN$1:$DN$15)/1000000</f>
        <v>0</v>
      </c>
      <c r="E141" s="343">
        <f>IFERROR(IF(OR(AND(D141="",C141=""),AND(D141=0,C141=0)),0,
IF(OR(D141="",D141=0),1,
IF(OR(D141&lt;&gt;"",D141&lt;&gt;0),(C141-D141)/ABS(D141)))),-1)</f>
        <v>0</v>
      </c>
      <c r="F141" s="360" t="s">
        <v>524</v>
      </c>
      <c r="G141" s="360">
        <v>1419</v>
      </c>
      <c r="H141" s="362">
        <v>1107</v>
      </c>
      <c r="I141" s="362">
        <v>5231</v>
      </c>
    </row>
    <row r="142" spans="1:11" ht="13.8" x14ac:dyDescent="0.25">
      <c r="A142" s="237" t="s">
        <v>22</v>
      </c>
      <c r="B142" s="186">
        <f>(SUMIF(Data!$DG$1:$DG$15,"RT",Data!$DH$1:$DH$15)+SUMIF(Data!$DG$1:$DG$15,"TU",Data!$DH$1:$DH$15))/1000000</f>
        <v>0</v>
      </c>
      <c r="C142" s="341">
        <f>(SUMIF(Data!$DJ$1:$DJ$15,"RT",Data!$DK$1:$DK$15)+SUMIF(Data!$DJ$1:$DJ$15,"TU",Data!$DK$1:$DK$15))/1000000</f>
        <v>54.999999950000003</v>
      </c>
      <c r="D142" s="341">
        <f>(SUMIF(Data!$DM$1:$DM$15,"RT",Data!$DN$1:$DN$15)+SUMIF(Data!$DM$1:$DM$15,"TU",Data!$DN$1:$DN$15))/1000000</f>
        <v>746.6060197999999</v>
      </c>
      <c r="E142" s="343">
        <f t="shared" ref="E142:E145" si="12">IFERROR(IF(OR(AND(D142="",C142=""),AND(D142=0,C142=0)),0,
IF(OR(D142="",D142=0),1,
IF(OR(D142&lt;&gt;"",D142&lt;&gt;0),(C142-D142)/ABS(D142)))),-1)</f>
        <v>-0.92633330231554611</v>
      </c>
      <c r="F142" s="360">
        <v>3880</v>
      </c>
      <c r="G142" s="360">
        <v>27182</v>
      </c>
      <c r="H142" s="362">
        <v>4409</v>
      </c>
      <c r="I142" s="362">
        <v>5097</v>
      </c>
    </row>
    <row r="143" spans="1:11" ht="13.8" x14ac:dyDescent="0.25">
      <c r="A143" s="237" t="s">
        <v>159</v>
      </c>
      <c r="B143" s="186">
        <v>0</v>
      </c>
      <c r="C143" s="341">
        <v>0</v>
      </c>
      <c r="D143" s="341">
        <v>0</v>
      </c>
      <c r="E143" s="343">
        <f t="shared" si="12"/>
        <v>0</v>
      </c>
      <c r="F143" s="360" t="s">
        <v>524</v>
      </c>
      <c r="G143" s="360" t="s">
        <v>525</v>
      </c>
      <c r="H143" s="176" t="s">
        <v>505</v>
      </c>
      <c r="I143" s="176" t="s">
        <v>526</v>
      </c>
    </row>
    <row r="144" spans="1:11" ht="13.8" x14ac:dyDescent="0.25">
      <c r="A144" s="237" t="s">
        <v>23</v>
      </c>
      <c r="B144" s="186">
        <f>(SUMIF(Data!$DG$1:$DG$15,"SO",Data!$DH$1:$DH$15)+SUMIF(Data!$DG$1:$DG$15,"SS",Data!$DH$1:$DH$15))/1000000</f>
        <v>46.354175700000006</v>
      </c>
      <c r="C144" s="341">
        <f>(SUMIF(Data!$DJ$1:$DJ$15,"SO",Data!$DK$1:$DK$15)+SUMIF(Data!$DJ$1:$DJ$15,"SS",Data!$DK$1:$DK$15))/1000000</f>
        <v>1976.0298381499999</v>
      </c>
      <c r="D144" s="341">
        <f>(SUMIF(Data!$DM$1:$DM$15,"SO",Data!$DN$1:$DN$15)+SUMIF(Data!$DM$1:$DM$15,"SS",Data!$DN$1:$DN$15))/1000000</f>
        <v>2029.13068679</v>
      </c>
      <c r="E144" s="343">
        <f t="shared" si="12"/>
        <v>-2.6169260060821129E-2</v>
      </c>
      <c r="F144" s="360">
        <v>3585</v>
      </c>
      <c r="G144" s="360">
        <v>3253</v>
      </c>
      <c r="H144" s="362">
        <v>4585</v>
      </c>
      <c r="I144" s="362">
        <v>6461</v>
      </c>
    </row>
    <row r="145" spans="1:9" ht="13.8" x14ac:dyDescent="0.25">
      <c r="A145" s="237" t="s">
        <v>24</v>
      </c>
      <c r="B145" s="186">
        <f>(SUMIF(Data!$DG$1:$DG$15,"SI",Data!$DH$1:$DH$15)+SUMIF(Data!$DG$1:$DG$15,"GI",Data!$DH$1:$DH$15))/1000000</f>
        <v>15.47613754</v>
      </c>
      <c r="C145" s="341">
        <f>(SUMIF(Data!$DJ$1:$DJ$15,"SI",Data!$DK$1:$DK$15)+SUMIF(Data!$DJ$1:$DJ$15,"GI",Data!$DK$1:$DK$15))/1000000</f>
        <v>3141.5677446700001</v>
      </c>
      <c r="D145" s="341">
        <f>(SUMIF(Data!$DM$1:$DM$15,"SI",Data!$DN$1:$DN$15)+SUMIF(Data!$DM$1:$DM$15,"GI",Data!$DN$1:$DN$15))/1000000</f>
        <v>3953.1787681000005</v>
      </c>
      <c r="E145" s="343">
        <f t="shared" si="12"/>
        <v>-0.20530592493799149</v>
      </c>
      <c r="F145" s="360">
        <v>587142</v>
      </c>
      <c r="G145" s="360">
        <v>35048</v>
      </c>
      <c r="H145" s="362">
        <v>25745</v>
      </c>
      <c r="I145" s="362">
        <v>38830</v>
      </c>
    </row>
    <row r="146" spans="1:9" ht="13.8" x14ac:dyDescent="0.25">
      <c r="A146" s="277" t="s">
        <v>25</v>
      </c>
      <c r="B146" s="342">
        <f>SUM(B141:B145)</f>
        <v>61.83031324000001</v>
      </c>
      <c r="C146" s="342">
        <f>SUM(C141:C145)</f>
        <v>5172.5975827700004</v>
      </c>
      <c r="D146" s="342">
        <f>SUM(D141:D145)</f>
        <v>6728.9154746900003</v>
      </c>
      <c r="E146" s="344">
        <f>IFERROR(IF(OR(AND(D146="",C146=""),AND(D146=0,C146=0)),0,
IF(OR(D146="",D146=0),1,
IF(OR(D146&lt;&gt;"",D146&lt;&gt;0),(C146-D146)/ABS(D146)))),-1)</f>
        <v>-0.23128807276208194</v>
      </c>
      <c r="F146" s="364">
        <v>594607</v>
      </c>
      <c r="G146" s="364">
        <v>66902</v>
      </c>
      <c r="H146" s="364">
        <v>35847</v>
      </c>
      <c r="I146" s="364">
        <v>55620</v>
      </c>
    </row>
    <row r="147" spans="1:9" ht="13.8" thickBot="1" x14ac:dyDescent="0.3">
      <c r="A147" s="109"/>
      <c r="B147" s="113"/>
      <c r="C147" s="113"/>
      <c r="D147" s="113"/>
      <c r="E147" s="140"/>
      <c r="F147" s="113"/>
      <c r="G147" s="113"/>
      <c r="H147" s="113"/>
      <c r="I147" s="113"/>
    </row>
    <row r="148" spans="1:9" ht="13.8" thickTop="1" x14ac:dyDescent="0.25">
      <c r="A148" s="18" t="s">
        <v>157</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162</v>
      </c>
      <c r="D151" s="269" t="s">
        <v>162</v>
      </c>
      <c r="E151" s="269" t="s">
        <v>27</v>
      </c>
      <c r="F151" s="308"/>
      <c r="G151" s="270"/>
      <c r="H151" s="270"/>
      <c r="I151" s="270"/>
    </row>
    <row r="152" spans="1:9" ht="13.8" x14ac:dyDescent="0.25">
      <c r="A152" s="270"/>
      <c r="B152" s="269" t="s">
        <v>3</v>
      </c>
      <c r="C152" s="269" t="s">
        <v>161</v>
      </c>
      <c r="D152" s="269" t="s">
        <v>161</v>
      </c>
      <c r="E152" s="269" t="s">
        <v>5</v>
      </c>
      <c r="F152" s="308"/>
      <c r="G152" s="270"/>
      <c r="H152" s="270"/>
      <c r="I152" s="270"/>
    </row>
    <row r="153" spans="1:9" ht="14.4" thickBot="1" x14ac:dyDescent="0.3">
      <c r="A153" s="283"/>
      <c r="B153" s="271" t="str">
        <f>TEXT($H$3,"MMM")&amp;" "&amp;TEXT($H$3,"YYYY")</f>
        <v>May 2022</v>
      </c>
      <c r="C153" s="271" t="str">
        <f>TEXT($H$3,"YYYY")</f>
        <v>2022</v>
      </c>
      <c r="D153" s="271">
        <f>TEXT($H$3,"YYYY")-1</f>
        <v>2021</v>
      </c>
      <c r="E153" s="273" t="s">
        <v>6</v>
      </c>
      <c r="F153" s="273">
        <f>TEXT($H$3,"YYYY")-1</f>
        <v>2021</v>
      </c>
      <c r="G153" s="273">
        <f>TEXT($H$3,"YYYY")-2</f>
        <v>2020</v>
      </c>
      <c r="H153" s="273">
        <f>TEXT($H$3,"YYYY")-3</f>
        <v>2019</v>
      </c>
      <c r="I153" s="273">
        <f>TEXT($H$3,"YYYY")-4</f>
        <v>2018</v>
      </c>
    </row>
    <row r="154" spans="1:9" ht="13.8" x14ac:dyDescent="0.25">
      <c r="A154" s="237" t="s">
        <v>155</v>
      </c>
      <c r="B154" s="275">
        <v>0.3276</v>
      </c>
      <c r="C154" s="275">
        <v>0.32569999999999999</v>
      </c>
      <c r="D154" s="275">
        <v>0.33650000000000002</v>
      </c>
      <c r="E154" s="275">
        <f>IFERROR(IF(OR(AND(D154="",C154=""),AND(D154=0,C154=0)),"",
IF(OR(D154="",D154=0),1,
IF(OR(D154&lt;&gt;"",D154&lt;&gt;0),(C154-D154)/ABS(D154)))),-1)</f>
        <v>-3.2095096582466662E-2</v>
      </c>
      <c r="F154" s="366">
        <v>31.9</v>
      </c>
      <c r="G154" s="366">
        <v>37.200000000000003</v>
      </c>
      <c r="H154" s="366">
        <v>35.9</v>
      </c>
      <c r="I154" s="366">
        <v>44.7</v>
      </c>
    </row>
    <row r="155" spans="1:9" ht="13.8" x14ac:dyDescent="0.25">
      <c r="A155" s="236" t="s">
        <v>156</v>
      </c>
      <c r="B155" s="275">
        <v>0.29349999999999998</v>
      </c>
      <c r="C155" s="275">
        <v>0.2954</v>
      </c>
      <c r="D155" s="275">
        <v>0.3095</v>
      </c>
      <c r="E155" s="275">
        <f>IFERROR(IF(OR(AND(D155="",C155=""),AND(D155=0,C155=0)),"",
IF(OR(D155="",D155=0),1,
IF(OR(D155&lt;&gt;"",D155&lt;&gt;0),(C155-D155)/ABS(D155)))),-1)</f>
        <v>-4.5557350565428117E-2</v>
      </c>
      <c r="F155" s="366">
        <v>28.9</v>
      </c>
      <c r="G155" s="366">
        <v>34.9</v>
      </c>
      <c r="H155" s="366">
        <v>34.200000000000003</v>
      </c>
      <c r="I155" s="366">
        <v>42</v>
      </c>
    </row>
    <row r="156" spans="1:9" ht="13.8" thickBot="1" x14ac:dyDescent="0.3">
      <c r="A156" s="108"/>
      <c r="B156" s="138"/>
      <c r="C156" s="138"/>
      <c r="D156" s="137"/>
      <c r="E156" s="112"/>
      <c r="F156" s="141"/>
      <c r="G156" s="141"/>
      <c r="H156" s="141"/>
      <c r="I156" s="141"/>
    </row>
    <row r="157" spans="1:9" ht="13.8" thickTop="1" x14ac:dyDescent="0.25">
      <c r="A157" s="18" t="s">
        <v>502</v>
      </c>
      <c r="B157" s="37"/>
      <c r="C157" s="53"/>
      <c r="D157" s="46"/>
      <c r="E157" s="53"/>
      <c r="F157" s="53"/>
      <c r="G157" s="53"/>
      <c r="H157" s="37"/>
      <c r="I157" s="37"/>
    </row>
    <row r="159" spans="1:9" x14ac:dyDescent="0.25">
      <c r="B159" s="107"/>
      <c r="C159" s="107"/>
      <c r="D159" s="107" t="s">
        <v>134</v>
      </c>
      <c r="E159" s="107"/>
      <c r="F159" s="107"/>
      <c r="G159" s="107"/>
      <c r="H159" s="107"/>
      <c r="I159" s="107"/>
    </row>
    <row r="160" spans="1:9" ht="13.8" thickBot="1" x14ac:dyDescent="0.3">
      <c r="A160" s="121" t="s">
        <v>135</v>
      </c>
      <c r="B160" s="116"/>
      <c r="C160" s="116"/>
      <c r="D160" s="116"/>
      <c r="E160" s="116"/>
      <c r="F160" s="116"/>
      <c r="G160" s="116"/>
      <c r="H160" s="116"/>
      <c r="I160" s="116"/>
    </row>
    <row r="161" spans="1:9" ht="13.8" x14ac:dyDescent="0.25">
      <c r="A161" s="270"/>
      <c r="B161" s="269" t="s">
        <v>1</v>
      </c>
      <c r="C161" s="269" t="s">
        <v>162</v>
      </c>
      <c r="D161" s="269" t="s">
        <v>162</v>
      </c>
      <c r="E161" s="269" t="s">
        <v>27</v>
      </c>
      <c r="F161" s="308"/>
      <c r="G161" s="270"/>
      <c r="H161" s="270"/>
      <c r="I161" s="270"/>
    </row>
    <row r="162" spans="1:9" ht="13.8" x14ac:dyDescent="0.25">
      <c r="A162" s="270"/>
      <c r="B162" s="269" t="s">
        <v>3</v>
      </c>
      <c r="C162" s="269" t="s">
        <v>4</v>
      </c>
      <c r="D162" s="269" t="s">
        <v>161</v>
      </c>
      <c r="E162" s="269" t="s">
        <v>5</v>
      </c>
      <c r="F162" s="308"/>
      <c r="G162" s="270"/>
      <c r="H162" s="270"/>
      <c r="I162" s="270"/>
    </row>
    <row r="163" spans="1:9" ht="14.4" thickBot="1" x14ac:dyDescent="0.3">
      <c r="A163" s="283"/>
      <c r="B163" s="271" t="str">
        <f>TEXT($H$3,"MMM")&amp;" "&amp;TEXT($H$3,"YYYY")</f>
        <v>May 2022</v>
      </c>
      <c r="C163" s="271" t="str">
        <f>TEXT($H$3,"YYYY")</f>
        <v>2022</v>
      </c>
      <c r="D163" s="271">
        <f>TEXT($H$3,"YYYY")-1</f>
        <v>2021</v>
      </c>
      <c r="E163" s="273" t="s">
        <v>6</v>
      </c>
      <c r="F163" s="273">
        <f>TEXT($H$3,"YYYY")-1</f>
        <v>2021</v>
      </c>
      <c r="G163" s="273">
        <f>TEXT($H$3,"YYYY")-2</f>
        <v>2020</v>
      </c>
      <c r="H163" s="273">
        <f>TEXT($H$3,"YYYY")-3</f>
        <v>2019</v>
      </c>
      <c r="I163" s="273">
        <f>TEXT($H$3,"YYYY")-4</f>
        <v>2018</v>
      </c>
    </row>
    <row r="164" spans="1:9" ht="13.8" x14ac:dyDescent="0.25">
      <c r="A164" s="301" t="s">
        <v>172</v>
      </c>
      <c r="B164" s="237"/>
      <c r="C164" s="237"/>
      <c r="D164" s="237"/>
      <c r="E164" s="237"/>
      <c r="F164" s="237"/>
      <c r="G164" s="237"/>
      <c r="H164" s="237"/>
      <c r="I164" s="237"/>
    </row>
    <row r="165" spans="1:9" ht="13.8" x14ac:dyDescent="0.25">
      <c r="A165" s="237" t="s">
        <v>29</v>
      </c>
      <c r="B165" s="238">
        <f ca="1">SUMIF(Data!$BT$1:$BT$7,"&lt;&gt;AltX",Data!$BU$1:$BU$6)</f>
        <v>278</v>
      </c>
      <c r="C165" s="238">
        <f>SUMIF(Data!$BT$9:$BT$14,"&lt;&gt;AltX",Data!BU9:BU14)</f>
        <v>278</v>
      </c>
      <c r="D165" s="238">
        <f>SUMIF(Data!$BT$17:$BT$23,"&lt;&gt;AltX",Data!$BU$17:$BU$24)</f>
        <v>294</v>
      </c>
      <c r="E165" s="275">
        <f>IFERROR(IF(OR(AND(D165="",C165=""),AND(D165=0,C165=0)),"",
IF(OR(D165="",D165=0),1,
IF(OR(D165&lt;&gt;"",D165&lt;&gt;0),(C165-D165)/ABS(D165)))),-1)</f>
        <v>-5.4421768707482991E-2</v>
      </c>
      <c r="F165" s="359">
        <v>288</v>
      </c>
      <c r="G165" s="359">
        <v>300</v>
      </c>
      <c r="H165" s="359">
        <v>312</v>
      </c>
      <c r="I165" s="359">
        <v>326</v>
      </c>
    </row>
    <row r="166" spans="1:9" ht="13.8" x14ac:dyDescent="0.25">
      <c r="A166" s="237" t="s">
        <v>30</v>
      </c>
      <c r="B166" s="238">
        <f ca="1">SUMIF(Data!$BT$1:$BT$7,"&lt;&gt;AltX",Data!$BV$1:$BV$6)</f>
        <v>0</v>
      </c>
      <c r="C166" s="238">
        <f>SUMIF(Data!$BT$9:$BT$14,"&lt;&gt;AltX",Data!BV9:BV14)</f>
        <v>2</v>
      </c>
      <c r="D166" s="238">
        <f>SUMIF(Data!$BT$17:$BT$23,"&lt;&gt;AltX",Data!$BV$17:$BV$23)</f>
        <v>5</v>
      </c>
      <c r="E166" s="275">
        <f t="shared" ref="E166:E167" si="13">IFERROR(IF(OR(AND(D166="",C166=""),AND(D166=0,C166=0)),"",
IF(OR(D166="",D166=0),1,
IF(OR(D166&lt;&gt;"",D166&lt;&gt;0),(C166-D166)/ABS(D166)))),-1)</f>
        <v>-0.6</v>
      </c>
      <c r="F166" s="359">
        <v>9</v>
      </c>
      <c r="G166" s="359">
        <v>5</v>
      </c>
      <c r="H166" s="359">
        <v>6</v>
      </c>
      <c r="I166" s="359">
        <v>11</v>
      </c>
    </row>
    <row r="167" spans="1:9" ht="13.8" x14ac:dyDescent="0.25">
      <c r="A167" s="237" t="s">
        <v>31</v>
      </c>
      <c r="B167" s="238">
        <f ca="1">SUMIF(Data!$BT$1:$BT$7,"&lt;&gt;AltX",Data!$BW$1:$BW$6)</f>
        <v>3</v>
      </c>
      <c r="C167" s="238">
        <f>SUMIF(Data!$BT$9:$BT$14,"&lt;&gt;AltX",Data!BW9:BW14)</f>
        <v>12</v>
      </c>
      <c r="D167" s="238">
        <f>SUMIF(Data!$BT$17:$BT$23,"&lt;&gt;AltX",Data!$BW$17:$BW$23)</f>
        <v>11</v>
      </c>
      <c r="E167" s="275">
        <f t="shared" si="13"/>
        <v>9.0909090909090912E-2</v>
      </c>
      <c r="F167" s="359">
        <v>20</v>
      </c>
      <c r="G167" s="359">
        <v>17</v>
      </c>
      <c r="H167" s="359">
        <v>20</v>
      </c>
      <c r="I167" s="359">
        <v>9</v>
      </c>
    </row>
    <row r="168" spans="1:9" ht="13.8" x14ac:dyDescent="0.25">
      <c r="A168" s="237"/>
      <c r="B168" s="238"/>
      <c r="C168" s="238"/>
      <c r="D168" s="238"/>
      <c r="E168" s="309"/>
      <c r="F168" s="359"/>
      <c r="G168" s="359"/>
      <c r="H168" s="359"/>
      <c r="I168" s="359"/>
    </row>
    <row r="169" spans="1:9" ht="13.8" x14ac:dyDescent="0.25">
      <c r="A169" s="277" t="s">
        <v>128</v>
      </c>
      <c r="B169" s="238"/>
      <c r="C169" s="238"/>
      <c r="D169" s="238"/>
      <c r="E169" s="309"/>
      <c r="F169" s="359"/>
      <c r="G169" s="359"/>
      <c r="H169" s="359"/>
      <c r="I169" s="359"/>
    </row>
    <row r="170" spans="1:9" ht="13.8" x14ac:dyDescent="0.25">
      <c r="A170" s="237" t="s">
        <v>29</v>
      </c>
      <c r="B170" s="238">
        <f ca="1">SUMIF(Data!$BT$1:$BT$7,"AltX",Data!$BU$1:$BU$6)</f>
        <v>34</v>
      </c>
      <c r="C170" s="238">
        <f>SUMIF(Data!$BT$9:$BT$14,"AltX",Data!BU9:BU14)</f>
        <v>34</v>
      </c>
      <c r="D170" s="238">
        <f>SUMIF(Data!$BT$17:$BT$23,"AltX",Data!$BU$17:$BU$24)</f>
        <v>36</v>
      </c>
      <c r="E170" s="275">
        <f t="shared" ref="E170:E171" si="14">IFERROR(IF(OR(AND(D170="",C170=""),AND(D170=0,C170=0)),"",
IF(OR(D170="",D170=0),1,
IF(OR(D170&lt;&gt;"",D170&lt;&gt;0),(C170-D170)/ABS(D170)))),-1)</f>
        <v>-5.5555555555555552E-2</v>
      </c>
      <c r="F170" s="359">
        <v>36</v>
      </c>
      <c r="G170" s="359">
        <v>39</v>
      </c>
      <c r="H170" s="359">
        <v>42</v>
      </c>
      <c r="I170" s="359">
        <v>46</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9" t="s">
        <v>524</v>
      </c>
      <c r="G171" s="359" t="s">
        <v>525</v>
      </c>
      <c r="H171" s="359" t="s">
        <v>505</v>
      </c>
      <c r="I171" s="359">
        <v>1</v>
      </c>
    </row>
    <row r="172" spans="1:9" ht="13.8" x14ac:dyDescent="0.25">
      <c r="A172" s="237" t="s">
        <v>31</v>
      </c>
      <c r="B172" s="238">
        <f ca="1">SUMIF(Data!$BT$1:$BT$7,"AltX",Data!$BW$1:$BW$6)</f>
        <v>0</v>
      </c>
      <c r="C172" s="238">
        <f>SUMIF(Data!$BT$9:$BT$14,"AltX",Data!BW9:BW14)</f>
        <v>2</v>
      </c>
      <c r="D172" s="238">
        <f>SUMIF(Data!$BT$17:$BT$23,"AltX",Data!$BW$17:$BW$23)</f>
        <v>3</v>
      </c>
      <c r="E172" s="275">
        <f t="shared" ref="E172" ca="1" si="15">IFERROR(IF(OR(AND(C172="",B172=""),AND(C172=0,B172=0)),"",
IF(OR(C172="",C172=0),1,
IF(OR(C172&lt;&gt;"",C172&lt;&gt;0),(B172-C172)/ABS(C172)))),-1)</f>
        <v>-1</v>
      </c>
      <c r="F172" s="359">
        <v>4</v>
      </c>
      <c r="G172" s="359">
        <v>2</v>
      </c>
      <c r="H172" s="359">
        <v>4</v>
      </c>
      <c r="I172" s="359">
        <v>8</v>
      </c>
    </row>
    <row r="173" spans="1:9" ht="13.8" x14ac:dyDescent="0.25">
      <c r="A173" s="237"/>
      <c r="B173" s="238"/>
      <c r="C173" s="238"/>
      <c r="D173" s="238"/>
      <c r="E173" s="309"/>
      <c r="F173" s="359"/>
      <c r="G173" s="359"/>
      <c r="H173" s="359"/>
      <c r="I173" s="359"/>
    </row>
    <row r="174" spans="1:9" ht="13.8" x14ac:dyDescent="0.25">
      <c r="A174" s="277" t="s">
        <v>32</v>
      </c>
      <c r="B174" s="238"/>
      <c r="C174" s="238"/>
      <c r="D174" s="238"/>
      <c r="E174" s="309"/>
      <c r="F174" s="359"/>
      <c r="G174" s="359"/>
      <c r="H174" s="359"/>
      <c r="I174" s="359"/>
    </row>
    <row r="175" spans="1:9" ht="13.8" x14ac:dyDescent="0.25">
      <c r="A175" s="237" t="s">
        <v>30</v>
      </c>
      <c r="B175" s="238">
        <f t="shared" ref="B175:D176" ca="1" si="16">B166+B171</f>
        <v>0</v>
      </c>
      <c r="C175" s="238">
        <f t="shared" si="16"/>
        <v>2</v>
      </c>
      <c r="D175" s="238">
        <f t="shared" si="16"/>
        <v>5</v>
      </c>
      <c r="E175" s="275">
        <f t="shared" ref="E175:E181" si="17">IFERROR(IF(OR(AND(D175="",C175=""),AND(D175=0,C175=0)),"",
IF(OR(D175="",D175=0),1,
IF(OR(D175&lt;&gt;"",D175&lt;&gt;0),(C175-D175)/ABS(D175)))),-1)</f>
        <v>-0.6</v>
      </c>
      <c r="F175" s="359">
        <v>9</v>
      </c>
      <c r="G175" s="359">
        <v>5</v>
      </c>
      <c r="H175" s="359">
        <v>6</v>
      </c>
      <c r="I175" s="359">
        <v>12</v>
      </c>
    </row>
    <row r="176" spans="1:9" ht="13.8" x14ac:dyDescent="0.25">
      <c r="A176" s="237" t="s">
        <v>31</v>
      </c>
      <c r="B176" s="238">
        <f t="shared" ca="1" si="16"/>
        <v>3</v>
      </c>
      <c r="C176" s="238">
        <f t="shared" si="16"/>
        <v>14</v>
      </c>
      <c r="D176" s="238">
        <f t="shared" si="16"/>
        <v>14</v>
      </c>
      <c r="E176" s="275">
        <f>IFERROR(IF(OR(AND(D176="",C176=""),AND(D176=0,C176=0)),"",
IF(OR(D176="",D176=0),1,
IF(OR(D176&lt;&gt;"",D176&lt;&gt;0),(C176-D176)/ABS(D176)))),-1)</f>
        <v>0</v>
      </c>
      <c r="F176" s="359">
        <v>24</v>
      </c>
      <c r="G176" s="359">
        <v>20</v>
      </c>
      <c r="H176" s="359">
        <v>24</v>
      </c>
      <c r="I176" s="359">
        <v>17</v>
      </c>
    </row>
    <row r="177" spans="1:12" ht="13.8" x14ac:dyDescent="0.25">
      <c r="A177" s="237" t="s">
        <v>33</v>
      </c>
      <c r="B177" s="238">
        <f>SUM(Data!$CB$2:$CB$6)</f>
        <v>70</v>
      </c>
      <c r="C177" s="238">
        <f>SUM(Data!$CB$10:$CB$14)</f>
        <v>70</v>
      </c>
      <c r="D177" s="238">
        <f>SUM(Data!CB18:CB22)</f>
        <v>70</v>
      </c>
      <c r="E177" s="275">
        <f t="shared" si="17"/>
        <v>0</v>
      </c>
      <c r="F177" s="359">
        <v>72</v>
      </c>
      <c r="G177" s="359">
        <v>69</v>
      </c>
      <c r="H177" s="359">
        <v>71</v>
      </c>
      <c r="I177" s="359">
        <v>74</v>
      </c>
    </row>
    <row r="178" spans="1:12" ht="13.8" x14ac:dyDescent="0.25">
      <c r="A178" s="237" t="s">
        <v>34</v>
      </c>
      <c r="B178" s="238">
        <f>SUM(Data!$CA$2:$CA$6)</f>
        <v>242</v>
      </c>
      <c r="C178" s="238">
        <f>SUM(Data!$CA$10:$CA$14)</f>
        <v>242</v>
      </c>
      <c r="D178" s="238">
        <f>SUM(Data!CA18:CA22)</f>
        <v>260</v>
      </c>
      <c r="E178" s="275">
        <f t="shared" si="17"/>
        <v>-6.9230769230769235E-2</v>
      </c>
      <c r="F178" s="359">
        <v>252</v>
      </c>
      <c r="G178" s="359">
        <v>270</v>
      </c>
      <c r="H178" s="359">
        <v>283</v>
      </c>
      <c r="I178" s="359">
        <v>298</v>
      </c>
    </row>
    <row r="179" spans="1:12" ht="13.8" x14ac:dyDescent="0.25">
      <c r="A179" s="277" t="s">
        <v>35</v>
      </c>
      <c r="B179" s="239">
        <f ca="1">B165+B170</f>
        <v>312</v>
      </c>
      <c r="C179" s="239">
        <f>C165+C170</f>
        <v>312</v>
      </c>
      <c r="D179" s="239">
        <f>D165+D170</f>
        <v>330</v>
      </c>
      <c r="E179" s="310">
        <f t="shared" si="17"/>
        <v>-5.4545454545454543E-2</v>
      </c>
      <c r="F179" s="361">
        <v>324</v>
      </c>
      <c r="G179" s="361">
        <v>339</v>
      </c>
      <c r="H179" s="361">
        <v>354</v>
      </c>
      <c r="I179" s="361">
        <v>372</v>
      </c>
    </row>
    <row r="180" spans="1:12" ht="13.8" x14ac:dyDescent="0.25">
      <c r="A180" s="277"/>
      <c r="B180" s="238"/>
      <c r="C180" s="238"/>
      <c r="D180" s="239"/>
      <c r="E180" s="237"/>
      <c r="F180" s="359"/>
      <c r="G180" s="359"/>
      <c r="H180" s="359"/>
      <c r="I180" s="359"/>
    </row>
    <row r="181" spans="1:12" ht="13.8" x14ac:dyDescent="0.25">
      <c r="A181" s="277" t="s">
        <v>36</v>
      </c>
      <c r="B181" s="239">
        <f>Data!CD2</f>
        <v>1189</v>
      </c>
      <c r="C181" s="239">
        <f>Data!CD2</f>
        <v>1189</v>
      </c>
      <c r="D181" s="239">
        <f>Data!CD5</f>
        <v>1010</v>
      </c>
      <c r="E181" s="310">
        <f t="shared" si="17"/>
        <v>0.17722772277227722</v>
      </c>
      <c r="F181" s="361">
        <v>1108</v>
      </c>
      <c r="G181" s="361">
        <v>1003</v>
      </c>
      <c r="H181" s="361">
        <v>946</v>
      </c>
      <c r="I181" s="361">
        <v>822</v>
      </c>
    </row>
    <row r="182" spans="1:12" ht="13.8" x14ac:dyDescent="0.25">
      <c r="A182" s="277"/>
      <c r="B182" s="238"/>
      <c r="C182" s="238"/>
      <c r="D182" s="238"/>
      <c r="E182" s="237"/>
      <c r="F182" s="237"/>
      <c r="G182" s="237"/>
      <c r="H182" s="237"/>
      <c r="I182" s="237"/>
    </row>
    <row r="183" spans="1:12" ht="13.8" x14ac:dyDescent="0.25">
      <c r="A183" s="235" t="s">
        <v>37</v>
      </c>
      <c r="B183" s="311">
        <f>Data!CE2/1000000000</f>
        <v>20841.670833097302</v>
      </c>
      <c r="C183" s="311"/>
      <c r="D183" s="311">
        <f>Data!CE5/1000000000</f>
        <v>19014.12039022072</v>
      </c>
      <c r="E183" s="310">
        <f>IFERROR(IF(OR(AND(D183="",B183=""),AND(D183=0,B183=0)),"",
IF(OR(D183="",D183=0),1,
IF(OR(D183&lt;&gt;"",D183&lt;&gt;0),(B183-D183)/ABS(D183)))),-1)</f>
        <v>9.6115434496592406E-2</v>
      </c>
      <c r="F183" s="347"/>
      <c r="G183" s="347">
        <v>17854</v>
      </c>
      <c r="H183" s="347">
        <v>17854</v>
      </c>
      <c r="I183" s="347">
        <v>12682</v>
      </c>
    </row>
    <row r="184" spans="1:12" ht="13.8" thickBot="1" x14ac:dyDescent="0.3">
      <c r="A184" s="108"/>
      <c r="B184" s="137"/>
      <c r="C184" s="137"/>
      <c r="D184" s="137"/>
      <c r="E184" s="137"/>
      <c r="F184" s="110"/>
      <c r="G184" s="137"/>
      <c r="H184" s="137"/>
      <c r="I184" s="137"/>
    </row>
    <row r="185" spans="1:12" ht="13.8" thickTop="1" x14ac:dyDescent="0.25">
      <c r="A185" s="18" t="s">
        <v>158</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May 2022</v>
      </c>
      <c r="E232" s="369" t="s">
        <v>181</v>
      </c>
      <c r="F232" s="369"/>
      <c r="G232" s="369"/>
      <c r="H232" s="369"/>
      <c r="I232" s="124"/>
    </row>
    <row r="233" spans="1:13" ht="13.8" thickBot="1" x14ac:dyDescent="0.3">
      <c r="A233" s="115"/>
      <c r="B233" s="115"/>
      <c r="C233" s="115"/>
      <c r="D233" s="115"/>
      <c r="E233" s="375"/>
      <c r="F233" s="375"/>
      <c r="G233" s="375"/>
      <c r="H233" s="375"/>
      <c r="I233" s="115"/>
    </row>
    <row r="234" spans="1:13" ht="13.8" x14ac:dyDescent="0.25">
      <c r="A234" s="270"/>
      <c r="B234" s="270"/>
      <c r="C234" s="270"/>
      <c r="D234" s="173"/>
      <c r="E234" s="197"/>
      <c r="F234" s="312"/>
      <c r="G234" s="378" t="s">
        <v>183</v>
      </c>
      <c r="H234" s="378" t="s">
        <v>182</v>
      </c>
      <c r="I234" s="313"/>
    </row>
    <row r="235" spans="1:13" ht="12.75" customHeight="1" x14ac:dyDescent="0.25">
      <c r="A235" s="270"/>
      <c r="B235" s="270"/>
      <c r="C235" s="270"/>
      <c r="D235" s="173"/>
      <c r="E235" s="378" t="s">
        <v>39</v>
      </c>
      <c r="F235" s="383" t="str">
        <f>"Index Close   "&amp;TEXT($H$3,"MMM")&amp;" "&amp;TEXT($H$3,"YYYY")</f>
        <v>Index Close   May 2022</v>
      </c>
      <c r="G235" s="378"/>
      <c r="H235" s="378"/>
      <c r="I235" s="385" t="s">
        <v>40</v>
      </c>
    </row>
    <row r="236" spans="1:13" ht="14.4" thickBot="1" x14ac:dyDescent="0.3">
      <c r="A236" s="314"/>
      <c r="B236" s="315"/>
      <c r="C236" s="315"/>
      <c r="D236" s="188"/>
      <c r="E236" s="379"/>
      <c r="F236" s="384"/>
      <c r="G236" s="379"/>
      <c r="H236" s="379"/>
      <c r="I236" s="386"/>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72094.865317410004</v>
      </c>
      <c r="G238" s="275">
        <f>IF(IFERROR(VLOOKUP(E238,Data!$O$23:$P$196,2,FALSE),0)=0,0,(F238-IFERROR(VLOOKUP(E238,Data!$O$23:$P$196,2,FALSE),0))/ABS(IFERROR(VLOOKUP(E238,Data!$O$23:$P$196,2,FALSE),0)))</f>
        <v>-4.740382087232162E-3</v>
      </c>
      <c r="H238" s="175">
        <f>VLOOKUP(E238,Data!$B$23:$E$400,3,FALSE)</f>
        <v>77536.116505500002</v>
      </c>
      <c r="I238" s="317">
        <f>VLOOKUP(E238,Data!$B$23:$E$400,2,FALSE)</f>
        <v>44622</v>
      </c>
    </row>
    <row r="239" spans="1:13" ht="13.8" x14ac:dyDescent="0.25">
      <c r="A239" s="237" t="s">
        <v>43</v>
      </c>
      <c r="B239" s="237"/>
      <c r="C239" s="175"/>
      <c r="D239" s="175"/>
      <c r="E239" s="237" t="s">
        <v>44</v>
      </c>
      <c r="F239" s="175">
        <f>IFERROR(VLOOKUP(E239,Data!$G$23:$H$196,2,FALSE),0)</f>
        <v>80893.664215800003</v>
      </c>
      <c r="G239" s="275">
        <f>IF(IFERROR(VLOOKUP(E239,Data!$O$23:$P$196,2,FALSE),0)=0,0,(F239-IFERROR(VLOOKUP(E239,Data!$O$23:$P$196,2,FALSE),0))/ABS(IFERROR(VLOOKUP(E239,Data!$O$23:$P$196,2,FALSE),0)))</f>
        <v>-1.3444063968951394E-2</v>
      </c>
      <c r="H239" s="175">
        <f>VLOOKUP(E239,Data!$B$23:$E$400,3,FALSE)</f>
        <v>84924.77169727</v>
      </c>
      <c r="I239" s="317">
        <f>VLOOKUP(E239,Data!$B$23:$E$400,2,FALSE)</f>
        <v>44652</v>
      </c>
      <c r="J239" s="152"/>
      <c r="M239" s="152"/>
    </row>
    <row r="240" spans="1:13" s="155" customFormat="1" ht="13.8" x14ac:dyDescent="0.25">
      <c r="A240" s="293" t="s">
        <v>45</v>
      </c>
      <c r="B240" s="293"/>
      <c r="C240" s="176"/>
      <c r="D240" s="176"/>
      <c r="E240" s="293" t="s">
        <v>46</v>
      </c>
      <c r="F240" s="176">
        <f>IFERROR(VLOOKUP(E240,Data!$G$23:$H$196,2,FALSE),0)</f>
        <v>70158.416844499996</v>
      </c>
      <c r="G240" s="318">
        <f>IF(IFERROR(VLOOKUP(E240,Data!$O$23:$P$196,2,FALSE),0)=0,0,(F240-IFERROR(VLOOKUP(E240,Data!$O$23:$P$196,2,FALSE),0))/ABS(IFERROR(VLOOKUP(E240,Data!$O$23:$P$196,2,FALSE),0)))</f>
        <v>-1.1809025069471873E-2</v>
      </c>
      <c r="H240" s="175">
        <f>VLOOKUP(E240,Data!$B$23:$E$400,3,FALSE)</f>
        <v>71134.491873029998</v>
      </c>
      <c r="I240" s="317">
        <f>VLOOKUP(E240,Data!$B$23:$E$400,2,FALSE)</f>
        <v>44657</v>
      </c>
      <c r="K240" s="168"/>
      <c r="L240" s="168"/>
    </row>
    <row r="241" spans="1:13" ht="13.8" x14ac:dyDescent="0.25">
      <c r="A241" s="237" t="s">
        <v>47</v>
      </c>
      <c r="B241" s="237"/>
      <c r="C241" s="175"/>
      <c r="D241" s="175"/>
      <c r="E241" s="237" t="s">
        <v>48</v>
      </c>
      <c r="F241" s="175">
        <f>IFERROR(VLOOKUP(E241,Data!$G$23:$H$196,2,FALSE),0)</f>
        <v>8500.1240269400005</v>
      </c>
      <c r="G241" s="275">
        <f>IF(IFERROR(VLOOKUP(E241,Data!$O$23:$P$196,2,FALSE),0)=0,0,(F241-IFERROR(VLOOKUP(E241,Data!$O$23:$P$196,2,FALSE),0))/ABS(IFERROR(VLOOKUP(E241,Data!$O$23:$P$196,2,FALSE),0)))</f>
        <v>-1.5441010181540281E-2</v>
      </c>
      <c r="H241" s="175">
        <f>VLOOKUP(E241,Data!$B$23:$E$400,3,FALSE)</f>
        <v>8955.0713737599999</v>
      </c>
      <c r="I241" s="317">
        <f>VLOOKUP(E241,Data!$B$23:$E$400,2,FALSE)</f>
        <v>44578</v>
      </c>
      <c r="J241" s="152"/>
      <c r="M241" s="152"/>
    </row>
    <row r="242" spans="1:13" ht="13.8" x14ac:dyDescent="0.25">
      <c r="A242" s="237" t="s">
        <v>49</v>
      </c>
      <c r="B242" s="237"/>
      <c r="C242" s="175"/>
      <c r="D242" s="175"/>
      <c r="E242" s="237" t="s">
        <v>50</v>
      </c>
      <c r="F242" s="175">
        <f>IFERROR(VLOOKUP(E242,Data!$G$23:$H$196,2,FALSE),0)</f>
        <v>36414.488769980002</v>
      </c>
      <c r="G242" s="275">
        <f>IF(IFERROR(VLOOKUP(E242,Data!$O$23:$P$196,2,FALSE),0)=0,0,(F242-IFERROR(VLOOKUP(E242,Data!$O$23:$P$196,2,FALSE),0))/ABS(IFERROR(VLOOKUP(E242,Data!$O$23:$P$196,2,FALSE),0)))</f>
        <v>-4.5722252790015641E-3</v>
      </c>
      <c r="H242" s="175">
        <f>VLOOKUP(E242,Data!$B$23:$E$400,3,FALSE)</f>
        <v>39154.874033779997</v>
      </c>
      <c r="I242" s="317">
        <f>VLOOKUP(E242,Data!$B$23:$E$400,2,FALSE)</f>
        <v>44622</v>
      </c>
      <c r="J242" s="152"/>
      <c r="M242" s="152"/>
    </row>
    <row r="243" spans="1:13" ht="13.8" x14ac:dyDescent="0.25">
      <c r="A243" s="237" t="s">
        <v>51</v>
      </c>
      <c r="B243" s="237"/>
      <c r="C243" s="175"/>
      <c r="D243" s="175"/>
      <c r="E243" s="237" t="s">
        <v>52</v>
      </c>
      <c r="F243" s="175">
        <f>IFERROR(VLOOKUP(E243,Data!$G$23:$H$196,2,FALSE),0)</f>
        <v>14137.36053858</v>
      </c>
      <c r="G243" s="275">
        <f>IF(IFERROR(VLOOKUP(E243,Data!$O$23:$P$196,2,FALSE),0)=0,0,(F243-IFERROR(VLOOKUP(E243,Data!$O$23:$P$196,2,FALSE),0))/ABS(IFERROR(VLOOKUP(E243,Data!$O$23:$P$196,2,FALSE),0)))</f>
        <v>4.2804769553555994E-3</v>
      </c>
      <c r="H243" s="175">
        <f>VLOOKUP(E243,Data!$B$23:$E$400,3,FALSE)</f>
        <v>14949.15963441</v>
      </c>
      <c r="I243" s="317">
        <f>VLOOKUP(E243,Data!$B$23:$E$400,2,FALSE)</f>
        <v>44622</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65431.159094989998</v>
      </c>
      <c r="G246" s="275">
        <f>IF(IFERROR(VLOOKUP(E246,Data!$O$23:$P$196,2,FALSE),0)=0,0,(F246-IFERROR(VLOOKUP(E246,Data!$O$23:$P$196,2,FALSE),0))/ABS(IFERROR(VLOOKUP(E246,Data!$O$23:$P$196,2,FALSE),0)))</f>
        <v>-6.7794029225263282E-4</v>
      </c>
      <c r="H246" s="175">
        <f>VLOOKUP(E246,Data!$B$23:$E$400,3,FALSE)</f>
        <v>71057.557068209993</v>
      </c>
      <c r="I246" s="317">
        <f>VLOOKUP(E246,Data!$B$23:$E$400,2,FALSE)</f>
        <v>44622</v>
      </c>
    </row>
    <row r="247" spans="1:13" ht="13.8" x14ac:dyDescent="0.25">
      <c r="A247" s="237" t="s">
        <v>56</v>
      </c>
      <c r="B247" s="237"/>
      <c r="C247" s="175"/>
      <c r="D247" s="175"/>
      <c r="E247" s="237" t="s">
        <v>57</v>
      </c>
      <c r="F247" s="175">
        <f>IFERROR(VLOOKUP(E247,Data!$G$23:$H$196,2,FALSE),0)</f>
        <v>33826.01662581</v>
      </c>
      <c r="G247" s="275">
        <f>IF(IFERROR(VLOOKUP(E247,Data!$O$23:$P$196,2,FALSE),0)=0,0,(F247-IFERROR(VLOOKUP(E247,Data!$O$23:$P$196,2,FALSE),0))/ABS(IFERROR(VLOOKUP(E247,Data!$O$23:$P$196,2,FALSE),0)))</f>
        <v>3.0152788711838147E-4</v>
      </c>
      <c r="H247" s="175">
        <f>VLOOKUP(E247,Data!$B$23:$E$400,3,FALSE)</f>
        <v>36691.052027309997</v>
      </c>
      <c r="I247" s="317">
        <f>VLOOKUP(E247,Data!$B$23:$E$400,2,FALSE)</f>
        <v>44622</v>
      </c>
      <c r="J247" s="152"/>
      <c r="M247" s="152"/>
    </row>
    <row r="248" spans="1:13" ht="13.8" x14ac:dyDescent="0.25">
      <c r="A248" s="237" t="s">
        <v>58</v>
      </c>
      <c r="B248" s="237"/>
      <c r="C248" s="175"/>
      <c r="D248" s="175"/>
      <c r="E248" s="237" t="s">
        <v>59</v>
      </c>
      <c r="F248" s="175">
        <f>IFERROR(VLOOKUP(E248,Data!$G$23:$H$196,2,FALSE),0)</f>
        <v>12748.6502912</v>
      </c>
      <c r="G248" s="275">
        <f>IF(IFERROR(VLOOKUP(E248,Data!$O$23:$P$196,2,FALSE),0)=0,0,(F248-IFERROR(VLOOKUP(E248,Data!$O$23:$P$196,2,FALSE),0))/ABS(IFERROR(VLOOKUP(E248,Data!$O$23:$P$196,2,FALSE),0)))</f>
        <v>1.14972694492487E-2</v>
      </c>
      <c r="H248" s="175">
        <f>VLOOKUP(E248,Data!$B$23:$E$400,3,FALSE)</f>
        <v>13597.228265719999</v>
      </c>
      <c r="I248" s="317">
        <f>VLOOKUP(E248,Data!$B$23:$E$400,2,FALSE)</f>
        <v>44622</v>
      </c>
      <c r="J248" s="152"/>
      <c r="M248" s="152"/>
    </row>
    <row r="249" spans="1:13" ht="13.8" x14ac:dyDescent="0.25">
      <c r="A249" s="237" t="s">
        <v>165</v>
      </c>
      <c r="B249" s="237"/>
      <c r="C249" s="175"/>
      <c r="D249" s="175"/>
      <c r="E249" s="237" t="s">
        <v>60</v>
      </c>
      <c r="F249" s="175">
        <f>IFERROR(VLOOKUP(E249,Data!$G$23:$H$196,2,FALSE),0)</f>
        <v>76947.982727809998</v>
      </c>
      <c r="G249" s="275">
        <f>IF(IFERROR(VLOOKUP(E249,Data!$O$23:$P$196,2,FALSE),0)=0,0,(F249-IFERROR(VLOOKUP(E249,Data!$O$23:$P$196,2,FALSE),0))/ABS(IFERROR(VLOOKUP(E249,Data!$O$23:$P$196,2,FALSE),0)))</f>
        <v>-3.2421465658230577E-3</v>
      </c>
      <c r="H249" s="175">
        <f>VLOOKUP(E249,Data!$B$23:$E$400,3,FALSE)</f>
        <v>88218.677054450003</v>
      </c>
      <c r="I249" s="317">
        <f>VLOOKUP(E249,Data!$B$23:$E$400,2,FALSE)</f>
        <v>44622</v>
      </c>
      <c r="J249" s="152"/>
      <c r="M249" s="152"/>
    </row>
    <row r="250" spans="1:13" ht="13.8" x14ac:dyDescent="0.25">
      <c r="A250" s="237" t="s">
        <v>61</v>
      </c>
      <c r="B250" s="237"/>
      <c r="C250" s="175"/>
      <c r="D250" s="175"/>
      <c r="E250" s="237" t="s">
        <v>62</v>
      </c>
      <c r="F250" s="175">
        <f>IFERROR(VLOOKUP(E250,Data!$G$23:$H$196,2,FALSE),0)</f>
        <v>0</v>
      </c>
      <c r="G250" s="275">
        <f>IF(IFERROR(VLOOKUP(E250,Data!$O$23:$P$196,2,FALSE),0)=0,0,(F250-IFERROR(VLOOKUP(E250,Data!$O$23:$P$196,2,FALSE),0))/ABS(IFERROR(VLOOKUP(E250,Data!$O$23:$P$196,2,FALSE),0)))</f>
        <v>0</v>
      </c>
      <c r="H250" s="175">
        <f>VLOOKUP(E250,Data!$B$23:$E$400,3,FALSE)</f>
        <v>6662.4654347699998</v>
      </c>
      <c r="I250" s="317">
        <f>VLOOKUP(E250,Data!$B$23:$E$400,2,FALSE)</f>
        <v>44039</v>
      </c>
      <c r="J250" s="152"/>
      <c r="M250" s="152"/>
    </row>
    <row r="251" spans="1:13" ht="13.8" x14ac:dyDescent="0.25">
      <c r="A251" s="237" t="s">
        <v>63</v>
      </c>
      <c r="B251" s="237"/>
      <c r="C251" s="175"/>
      <c r="D251" s="175"/>
      <c r="E251" s="237" t="s">
        <v>64</v>
      </c>
      <c r="F251" s="175">
        <f>IFERROR(VLOOKUP(E251,Data!$G$23:$H$196,2,FALSE),0)</f>
        <v>78302.281779190002</v>
      </c>
      <c r="G251" s="275">
        <f>IF(IFERROR(VLOOKUP(E251,Data!$O$23:$P$196,2,FALSE),0)=0,0,(F251-IFERROR(VLOOKUP(E251,Data!$O$23:$P$196,2,FALSE),0))/ABS(IFERROR(VLOOKUP(E251,Data!$O$23:$P$196,2,FALSE),0)))</f>
        <v>-2.3644026038536582E-2</v>
      </c>
      <c r="H251" s="175">
        <f>VLOOKUP(E251,Data!$B$23:$E$400,3,FALSE)</f>
        <v>97184.191844369998</v>
      </c>
      <c r="I251" s="317">
        <f>VLOOKUP(E251,Data!$B$23:$E$400,2,FALSE)</f>
        <v>44565</v>
      </c>
      <c r="J251" s="152"/>
      <c r="M251" s="152"/>
    </row>
    <row r="252" spans="1:13" ht="13.8" x14ac:dyDescent="0.25">
      <c r="A252" s="237" t="s">
        <v>65</v>
      </c>
      <c r="B252" s="237"/>
      <c r="C252" s="175"/>
      <c r="D252" s="175"/>
      <c r="E252" s="237" t="s">
        <v>66</v>
      </c>
      <c r="F252" s="175">
        <f>IFERROR(VLOOKUP(E252,Data!$G$23:$H$196,2,FALSE),0)</f>
        <v>16987.58038811</v>
      </c>
      <c r="G252" s="275">
        <f>IF(IFERROR(VLOOKUP(E252,Data!$O$23:$P$196,2,FALSE),0)=0,0,(F252-IFERROR(VLOOKUP(E252,Data!$O$23:$P$196,2,FALSE),0))/ABS(IFERROR(VLOOKUP(E252,Data!$O$23:$P$196,2,FALSE),0)))</f>
        <v>4.158097484978774E-2</v>
      </c>
      <c r="H252" s="175">
        <f>VLOOKUP(E252,Data!$B$23:$E$400,3,FALSE)</f>
        <v>18847.577311370002</v>
      </c>
      <c r="I252" s="317">
        <f>VLOOKUP(E252,Data!$B$23:$E$400,2,FALSE)</f>
        <v>43165</v>
      </c>
      <c r="J252" s="152"/>
      <c r="M252" s="152"/>
    </row>
    <row r="253" spans="1:13" ht="13.8" x14ac:dyDescent="0.25">
      <c r="A253" s="237" t="s">
        <v>67</v>
      </c>
      <c r="B253" s="237"/>
      <c r="C253" s="175"/>
      <c r="D253" s="175"/>
      <c r="E253" s="237" t="s">
        <v>68</v>
      </c>
      <c r="F253" s="175">
        <f>IFERROR(VLOOKUP(E253,Data!$G$23:$H$196,2,FALSE),0)</f>
        <v>84308.815543189994</v>
      </c>
      <c r="G253" s="275">
        <f>IF(IFERROR(VLOOKUP(E253,Data!$O$23:$P$196,2,FALSE),0)=0,0,(F253-IFERROR(VLOOKUP(E253,Data!$O$23:$P$196,2,FALSE),0))/ABS(IFERROR(VLOOKUP(E253,Data!$O$23:$P$196,2,FALSE),0)))</f>
        <v>9.7775949103562874E-4</v>
      </c>
      <c r="H253" s="175">
        <f>VLOOKUP(E253,Data!$B$23:$E$400,3,FALSE)</f>
        <v>94569.496462859999</v>
      </c>
      <c r="I253" s="317">
        <f>VLOOKUP(E253,Data!$B$23:$E$400,2,FALSE)</f>
        <v>44565</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512</v>
      </c>
      <c r="B256" s="293"/>
      <c r="C256" s="176"/>
      <c r="D256" s="176"/>
      <c r="E256" s="293" t="s">
        <v>513</v>
      </c>
      <c r="F256" s="176">
        <f>IFERROR(VLOOKUP(E256,Data!$G$23:$H$196,2,FALSE),0)</f>
        <v>38715.698567660002</v>
      </c>
      <c r="G256" s="318">
        <f>IF(IFERROR(VLOOKUP(E256,Data!$O$23:$P$196,2,FALSE),0)=0,0,(F256-IFERROR(VLOOKUP(E256,Data!$O$23:$P$196,2,FALSE),0))/ABS(IFERROR(VLOOKUP(E256,Data!$O$23:$P$196,2,FALSE),0)))</f>
        <v>-2.752531045468299E-2</v>
      </c>
      <c r="H256" s="176">
        <f>VLOOKUP(E256,Data!$B$23:$E$400,3,FALSE)</f>
        <v>39811.523100680002</v>
      </c>
      <c r="I256" s="319">
        <f>VLOOKUP(E256,Data!$B$23:$E$400,2,FALSE)</f>
        <v>44680</v>
      </c>
      <c r="K256" s="168"/>
      <c r="L256" s="168"/>
    </row>
    <row r="257" spans="1:9" ht="13.8" x14ac:dyDescent="0.25">
      <c r="A257" s="237" t="s">
        <v>71</v>
      </c>
      <c r="B257" s="237"/>
      <c r="C257" s="175"/>
      <c r="D257" s="175"/>
      <c r="E257" s="237" t="s">
        <v>514</v>
      </c>
      <c r="F257" s="175">
        <f>IFERROR(VLOOKUP(E257,Data!$G$23:$H$196,2,FALSE),0)</f>
        <v>55181.500940569997</v>
      </c>
      <c r="G257" s="275">
        <f>IF(IFERROR(VLOOKUP(E257,Data!$O$23:$P$196,2,FALSE),0)=0,0,(F257-IFERROR(VLOOKUP(E257,Data!$O$23:$P$196,2,FALSE),0))/ABS(IFERROR(VLOOKUP(E257,Data!$O$23:$P$196,2,FALSE),0)))</f>
        <v>-5.419443378979108E-3</v>
      </c>
      <c r="H257" s="176">
        <f>VLOOKUP(E257,Data!$B$23:$E$400,3,FALSE)</f>
        <v>63059.854592180003</v>
      </c>
      <c r="I257" s="348">
        <f>VLOOKUP(E257,Data!$B$23:$E$400,2,FALSE)</f>
        <v>44622</v>
      </c>
    </row>
    <row r="258" spans="1:9" ht="13.8" x14ac:dyDescent="0.25">
      <c r="A258" s="237" t="s">
        <v>73</v>
      </c>
      <c r="B258" s="237"/>
      <c r="C258" s="175"/>
      <c r="D258" s="175"/>
      <c r="E258" s="237" t="s">
        <v>515</v>
      </c>
      <c r="F258" s="175">
        <f>IFERROR(VLOOKUP(E258,Data!$G$23:$H$196,2,FALSE),0)</f>
        <v>34060.230823329999</v>
      </c>
      <c r="G258" s="275">
        <f>IF(IFERROR(VLOOKUP(E258,Data!$O$23:$P$196,2,FALSE),0)=0,0,(F258-IFERROR(VLOOKUP(E258,Data!$O$23:$P$196,2,FALSE),0))/ABS(IFERROR(VLOOKUP(E258,Data!$O$23:$P$196,2,FALSE),0)))</f>
        <v>-5.9933909268599147E-3</v>
      </c>
      <c r="H258" s="176">
        <f>VLOOKUP(E258,Data!$B$23:$E$400,3,FALSE)</f>
        <v>40363.684077309998</v>
      </c>
      <c r="I258" s="348">
        <f>VLOOKUP(E258,Data!$B$23:$E$400,2,FALSE)</f>
        <v>44603</v>
      </c>
    </row>
    <row r="259" spans="1:9" ht="13.8" x14ac:dyDescent="0.25">
      <c r="A259" s="237" t="s">
        <v>516</v>
      </c>
      <c r="B259" s="237"/>
      <c r="C259" s="175"/>
      <c r="D259" s="175"/>
      <c r="E259" s="237" t="s">
        <v>517</v>
      </c>
      <c r="F259" s="175">
        <f>IFERROR(VLOOKUP(E259,Data!$G$23:$H$196,2,FALSE),0)</f>
        <v>26152.037933380001</v>
      </c>
      <c r="G259" s="275">
        <f>IF(IFERROR(VLOOKUP(E259,Data!$O$23:$P$196,2,FALSE),0)=0,0,(F259-IFERROR(VLOOKUP(E259,Data!$O$23:$P$196,2,FALSE),0))/ABS(IFERROR(VLOOKUP(E259,Data!$O$23:$P$196,2,FALSE),0)))</f>
        <v>-6.6703861051663607E-2</v>
      </c>
      <c r="H259" s="176">
        <f>VLOOKUP(E259,Data!$B$23:$E$400,3,FALSE)</f>
        <v>34369.73630792</v>
      </c>
      <c r="I259" s="348">
        <f>VLOOKUP(E259,Data!$B$23:$E$400,2,FALSE)</f>
        <v>44538</v>
      </c>
    </row>
    <row r="260" spans="1:9" ht="13.8" x14ac:dyDescent="0.25">
      <c r="A260" s="237" t="s">
        <v>518</v>
      </c>
      <c r="B260" s="237"/>
      <c r="C260" s="175"/>
      <c r="D260" s="175"/>
      <c r="E260" s="237" t="s">
        <v>519</v>
      </c>
      <c r="F260" s="175">
        <f>IFERROR(VLOOKUP(E260,Data!$G$23:$H$196,2,FALSE),0)</f>
        <v>77531.451713350005</v>
      </c>
      <c r="G260" s="275">
        <f>IF(IFERROR(VLOOKUP(E260,Data!$O$23:$P$196,2,FALSE),0)=0,0,(F260-IFERROR(VLOOKUP(E260,Data!$O$23:$P$196,2,FALSE),0))/ABS(IFERROR(VLOOKUP(E260,Data!$O$23:$P$196,2,FALSE),0)))</f>
        <v>-1.2397276094788993E-2</v>
      </c>
      <c r="H260" s="176">
        <f>VLOOKUP(E260,Data!$B$23:$E$400,3,FALSE)</f>
        <v>80565.261747299999</v>
      </c>
      <c r="I260" s="348">
        <f>VLOOKUP(E260,Data!$B$23:$E$400,2,FALSE)</f>
        <v>44607</v>
      </c>
    </row>
    <row r="261" spans="1:9" ht="13.8" x14ac:dyDescent="0.25">
      <c r="A261" s="237" t="s">
        <v>77</v>
      </c>
      <c r="B261" s="237"/>
      <c r="C261" s="175"/>
      <c r="D261" s="175"/>
      <c r="E261" s="237" t="s">
        <v>520</v>
      </c>
      <c r="F261" s="175">
        <f>IFERROR(VLOOKUP(E261,Data!$G$23:$H$196,2,FALSE),0)</f>
        <v>43361.109437970001</v>
      </c>
      <c r="G261" s="275">
        <f>IF(IFERROR(VLOOKUP(E261,Data!$O$23:$P$196,2,FALSE),0)=0,0,(F261-IFERROR(VLOOKUP(E261,Data!$O$23:$P$196,2,FALSE),0))/ABS(IFERROR(VLOOKUP(E261,Data!$O$23:$P$196,2,FALSE),0)))</f>
        <v>3.3483070546778106E-2</v>
      </c>
      <c r="H261" s="176">
        <f>VLOOKUP(E261,Data!$B$23:$E$400,3,FALSE)</f>
        <v>45484.202380390001</v>
      </c>
      <c r="I261" s="348">
        <f>VLOOKUP(E261,Data!$B$23:$E$400,2,FALSE)</f>
        <v>44649</v>
      </c>
    </row>
    <row r="262" spans="1:9" ht="13.8" x14ac:dyDescent="0.25">
      <c r="A262" s="237" t="s">
        <v>79</v>
      </c>
      <c r="B262" s="237"/>
      <c r="C262" s="175"/>
      <c r="D262" s="175"/>
      <c r="E262" s="237" t="s">
        <v>521</v>
      </c>
      <c r="F262" s="175">
        <f>IFERROR(VLOOKUP(E262,Data!$G$23:$H$196,2,FALSE),0)</f>
        <v>22195.160398029999</v>
      </c>
      <c r="G262" s="275">
        <f>IF(IFERROR(VLOOKUP(E262,Data!$O$23:$P$196,2,FALSE),0)=0,0,(F262-IFERROR(VLOOKUP(E262,Data!$O$23:$P$196,2,FALSE),0))/ABS(IFERROR(VLOOKUP(E262,Data!$O$23:$P$196,2,FALSE),0)))</f>
        <v>5.4985367434493844E-2</v>
      </c>
      <c r="H262" s="176">
        <f>VLOOKUP(E262,Data!$B$23:$E$400,3,FALSE)</f>
        <v>49244.486816149998</v>
      </c>
      <c r="I262" s="348">
        <f>VLOOKUP(E262,Data!$B$23:$E$400,2,FALSE)</f>
        <v>44287</v>
      </c>
    </row>
    <row r="263" spans="1:9" ht="13.8" x14ac:dyDescent="0.25">
      <c r="A263" s="237" t="s">
        <v>81</v>
      </c>
      <c r="B263" s="237"/>
      <c r="C263" s="175"/>
      <c r="D263" s="175"/>
      <c r="E263" s="237" t="s">
        <v>522</v>
      </c>
      <c r="F263" s="175">
        <f>IFERROR(VLOOKUP(E263,Data!$G$23:$H$196,2,FALSE),0)</f>
        <v>7691.3147374500004</v>
      </c>
      <c r="G263" s="275">
        <f>IF(IFERROR(VLOOKUP(E263,Data!$O$23:$P$196,2,FALSE),0)=0,0,(F263-IFERROR(VLOOKUP(E263,Data!$O$23:$P$196,2,FALSE),0))/ABS(IFERROR(VLOOKUP(E263,Data!$O$23:$P$196,2,FALSE),0)))</f>
        <v>-3.0316179134357987E-3</v>
      </c>
      <c r="H263" s="176">
        <f>VLOOKUP(E263,Data!$B$23:$E$400,3,FALSE)</f>
        <v>8885.9207809799991</v>
      </c>
      <c r="I263" s="348">
        <f>VLOOKUP(E263,Data!$B$23:$E$400,2,FALSE)</f>
        <v>44622</v>
      </c>
    </row>
    <row r="264" spans="1:9" ht="13.8" x14ac:dyDescent="0.25">
      <c r="A264" s="237" t="s">
        <v>83</v>
      </c>
      <c r="B264" s="237"/>
      <c r="C264" s="175"/>
      <c r="D264" s="175"/>
      <c r="E264" s="237" t="s">
        <v>523</v>
      </c>
      <c r="F264" s="175">
        <f>IFERROR(VLOOKUP(E264,Data!$G$23:$H$196,2,FALSE),0)</f>
        <v>4489.6263256100001</v>
      </c>
      <c r="G264" s="275">
        <f>IF(IFERROR(VLOOKUP(E264,Data!$O$23:$P$196,2,FALSE),0)=0,0,(F264-IFERROR(VLOOKUP(E264,Data!$O$23:$P$196,2,FALSE),0))/ABS(IFERROR(VLOOKUP(E264,Data!$O$23:$P$196,2,FALSE),0)))</f>
        <v>-4.6005092512020271E-2</v>
      </c>
      <c r="H264" s="176">
        <f>VLOOKUP(E264,Data!$B$23:$E$400,3,FALSE)</f>
        <v>5917.4404180399997</v>
      </c>
      <c r="I264" s="348">
        <f>VLOOKUP(E264,Data!$B$23:$E$400,2,FALSE)</f>
        <v>44467</v>
      </c>
    </row>
    <row r="265" spans="1:9" ht="13.8" x14ac:dyDescent="0.25">
      <c r="A265" s="237"/>
      <c r="B265" s="237"/>
      <c r="C265" s="175"/>
      <c r="D265" s="175"/>
      <c r="E265" s="237"/>
      <c r="F265" s="175"/>
      <c r="G265" s="175"/>
      <c r="H265" s="175"/>
      <c r="I265" s="317"/>
    </row>
    <row r="266" spans="1:9" ht="13.8" x14ac:dyDescent="0.25">
      <c r="A266" s="316" t="s">
        <v>85</v>
      </c>
      <c r="B266" s="316"/>
      <c r="C266" s="316"/>
      <c r="D266" s="316"/>
      <c r="E266" s="316"/>
      <c r="F266" s="316"/>
      <c r="G266" s="316"/>
      <c r="H266" s="316"/>
      <c r="I266" s="316"/>
    </row>
    <row r="267" spans="1:9" ht="13.8" x14ac:dyDescent="0.25">
      <c r="A267" s="237" t="s">
        <v>510</v>
      </c>
      <c r="B267" s="237"/>
      <c r="C267" s="175"/>
      <c r="D267" s="175"/>
      <c r="E267" s="237" t="s">
        <v>248</v>
      </c>
      <c r="F267" s="175">
        <f>IFERROR(VLOOKUP(E267,Data!$G$23:$H$196,2,FALSE),0)</f>
        <v>12994.09755764</v>
      </c>
      <c r="G267" s="275">
        <f>IF(IFERROR(VLOOKUP(E267,Data!$O$23:$P$196,2,FALSE),0)=0,0,(F267-IFERROR(VLOOKUP(E267,Data!$O$23:$P$196,2,FALSE),0))/ABS(IFERROR(VLOOKUP(E267,Data!$O$23:$P$196,2,FALSE),0)))</f>
        <v>6.4838130105131855E-3</v>
      </c>
      <c r="H267" s="175">
        <f>VLOOKUP(E267,Data!$B$23:$E$400,3,FALSE)</f>
        <v>13916.479466909999</v>
      </c>
      <c r="I267" s="317">
        <f>VLOOKUP(E267,Data!$B$23:$E$400,2,FALSE)</f>
        <v>44622</v>
      </c>
    </row>
    <row r="268" spans="1:9" ht="13.8" x14ac:dyDescent="0.25">
      <c r="A268" s="237" t="s">
        <v>87</v>
      </c>
      <c r="B268" s="237"/>
      <c r="C268" s="175"/>
      <c r="D268" s="175"/>
      <c r="E268" s="237" t="s">
        <v>88</v>
      </c>
      <c r="F268" s="175">
        <f>IFERROR(VLOOKUP(E268,Data!$G$23:$H$196,2,FALSE),0)</f>
        <v>5121.4419716399998</v>
      </c>
      <c r="G268" s="275">
        <f>IF(IFERROR(VLOOKUP(E268,Data!$O$23:$P$196,2,FALSE),0)=0,0,(F268-IFERROR(VLOOKUP(E268,Data!$O$23:$P$196,2,FALSE),0))/ABS(IFERROR(VLOOKUP(E268,Data!$O$23:$P$196,2,FALSE),0)))</f>
        <v>-1.0022391227398335E-2</v>
      </c>
      <c r="H268" s="175">
        <f>VLOOKUP(E268,Data!$B$23:$E$400,3,FALSE)</f>
        <v>5682.5741831900004</v>
      </c>
      <c r="I268" s="317">
        <f>VLOOKUP(E268,Data!$B$23:$E$400,2,FALSE)</f>
        <v>44622</v>
      </c>
    </row>
    <row r="269" spans="1:9" ht="13.8" x14ac:dyDescent="0.25">
      <c r="A269" s="237" t="s">
        <v>169</v>
      </c>
      <c r="B269" s="237"/>
      <c r="C269" s="175"/>
      <c r="D269" s="175"/>
      <c r="E269" s="237" t="s">
        <v>511</v>
      </c>
      <c r="F269" s="175">
        <f>IFERROR(VLOOKUP(E269,Data!$G$23:$H$196,2,FALSE),0)</f>
        <v>377.82367440000002</v>
      </c>
      <c r="G269" s="275">
        <f>IF(IFERROR(VLOOKUP(E269,Data!$O$23:$P$196,2,FALSE),0)=0,0,(F269-IFERROR(VLOOKUP(E269,Data!$O$23:$P$196,2,FALSE),0))/ABS(IFERROR(VLOOKUP(E269,Data!$O$23:$P$196,2,FALSE),0)))</f>
        <v>-4.9784161927318056E-3</v>
      </c>
      <c r="H269" s="175">
        <f>VLOOKUP(E269,Data!$B$23:$E$400,3,FALSE)</f>
        <v>400.62909824000002</v>
      </c>
      <c r="I269" s="317">
        <f>VLOOKUP(E269,Data!$B$23:$E$400,2,FALSE)</f>
        <v>44567</v>
      </c>
    </row>
    <row r="270" spans="1:9" ht="13.8" x14ac:dyDescent="0.25">
      <c r="A270" s="237" t="s">
        <v>89</v>
      </c>
      <c r="B270" s="237"/>
      <c r="C270" s="175"/>
      <c r="D270" s="175"/>
      <c r="E270" s="237" t="s">
        <v>90</v>
      </c>
      <c r="F270" s="175">
        <f>IFERROR(VLOOKUP(E270,Data!$G$23:$H$196,2,FALSE),0)</f>
        <v>326.50271143999998</v>
      </c>
      <c r="G270" s="275">
        <f>IF(IFERROR(VLOOKUP(E270,Data!$O$23:$P$196,2,FALSE),0)=0,0,(F270-IFERROR(VLOOKUP(E270,Data!$O$23:$P$196,2,FALSE),0))/ABS(IFERROR(VLOOKUP(E270,Data!$O$23:$P$196,2,FALSE),0)))</f>
        <v>-3.1771573502717872E-3</v>
      </c>
      <c r="H270" s="175">
        <f>VLOOKUP(E270,Data!$B$23:$E$400,3,FALSE)</f>
        <v>694.66658584000004</v>
      </c>
      <c r="I270" s="317">
        <f>VLOOKUP(E270,Data!$B$23:$E$400,2,FALSE)</f>
        <v>43098</v>
      </c>
    </row>
    <row r="271" spans="1:9" ht="13.8" x14ac:dyDescent="0.25">
      <c r="A271" s="237" t="s">
        <v>91</v>
      </c>
      <c r="B271" s="237"/>
      <c r="C271" s="175"/>
      <c r="D271" s="175"/>
      <c r="E271" s="237" t="s">
        <v>92</v>
      </c>
      <c r="F271" s="175">
        <f>IFERROR(VLOOKUP(E271,Data!$G$23:$H$196,2,FALSE),0)</f>
        <v>240.52694152000001</v>
      </c>
      <c r="G271" s="275">
        <f>IF(IFERROR(VLOOKUP(E271,Data!$O$23:$P$196,2,FALSE),0)=0,0,(F271-IFERROR(VLOOKUP(E271,Data!$O$23:$P$196,2,FALSE),0))/ABS(IFERROR(VLOOKUP(E271,Data!$O$23:$P$196,2,FALSE),0)))</f>
        <v>-6.1715949523578331E-3</v>
      </c>
      <c r="H271" s="175">
        <f>VLOOKUP(E271,Data!$B$23:$E$400,3,FALSE)</f>
        <v>597.8558587</v>
      </c>
      <c r="I271" s="317">
        <f>VLOOKUP(E271,Data!$B$23:$E$400,2,FALSE)</f>
        <v>42305</v>
      </c>
    </row>
    <row r="272" spans="1:9" ht="13.8" x14ac:dyDescent="0.25">
      <c r="A272" s="237" t="s">
        <v>93</v>
      </c>
      <c r="B272" s="237"/>
      <c r="C272" s="175"/>
      <c r="D272" s="175"/>
      <c r="E272" s="237" t="s">
        <v>94</v>
      </c>
      <c r="F272" s="175">
        <f>IFERROR(VLOOKUP(E272,Data!$G$23:$H$196,2,FALSE),0)</f>
        <v>44602.25937218</v>
      </c>
      <c r="G272" s="275">
        <f>IF(IFERROR(VLOOKUP(E272,Data!$O$23:$P$196,2,FALSE),0)=0,0,(F272-IFERROR(VLOOKUP(E272,Data!$O$23:$P$196,2,FALSE),0))/ABS(IFERROR(VLOOKUP(E272,Data!$O$23:$P$196,2,FALSE),0)))</f>
        <v>-6.3169706317908036E-3</v>
      </c>
      <c r="H272" s="175">
        <f>VLOOKUP(E272,Data!$B$23:$E$400,3,FALSE)</f>
        <v>50476.602841729997</v>
      </c>
      <c r="I272" s="317">
        <f>VLOOKUP(E272,Data!$B$23:$E$400,2,FALSE)</f>
        <v>44622</v>
      </c>
    </row>
    <row r="273" spans="1:9" ht="13.8" x14ac:dyDescent="0.25">
      <c r="A273" s="237" t="s">
        <v>95</v>
      </c>
      <c r="B273" s="237"/>
      <c r="C273" s="175"/>
      <c r="D273" s="175"/>
      <c r="E273" s="237" t="s">
        <v>96</v>
      </c>
      <c r="F273" s="175">
        <f>IFERROR(VLOOKUP(E273,Data!$G$23:$H$196,2,FALSE),0)</f>
        <v>475.73780347000002</v>
      </c>
      <c r="G273" s="275">
        <f>IF(IFERROR(VLOOKUP(E273,Data!$O$23:$P$196,2,FALSE),0)=0,0,(F273-IFERROR(VLOOKUP(E273,Data!$O$23:$P$196,2,FALSE),0))/ABS(IFERROR(VLOOKUP(E273,Data!$O$23:$P$196,2,FALSE),0)))</f>
        <v>2.0897970957101202E-2</v>
      </c>
      <c r="H273" s="175">
        <f>VLOOKUP(E273,Data!$B$23:$E$400,3,FALSE)</f>
        <v>500.14306311000001</v>
      </c>
      <c r="I273" s="317">
        <f>VLOOKUP(E273,Data!$B$23:$E$400,2,FALSE)</f>
        <v>44622</v>
      </c>
    </row>
    <row r="274" spans="1:9" ht="13.8" x14ac:dyDescent="0.25">
      <c r="A274" s="237" t="s">
        <v>97</v>
      </c>
      <c r="B274" s="237"/>
      <c r="C274" s="175"/>
      <c r="D274" s="175"/>
      <c r="E274" s="237" t="s">
        <v>98</v>
      </c>
      <c r="F274" s="175">
        <f>IFERROR(VLOOKUP(E274,Data!$G$23:$H$196,2,FALSE),0)</f>
        <v>842.89359769999999</v>
      </c>
      <c r="G274" s="275">
        <f>IF(IFERROR(VLOOKUP(E274,Data!$O$23:$P$196,2,FALSE),0)=0,0,(F274-IFERROR(VLOOKUP(E274,Data!$O$23:$P$196,2,FALSE),0))/ABS(IFERROR(VLOOKUP(E274,Data!$O$23:$P$196,2,FALSE),0)))</f>
        <v>-3.1440962758594621E-2</v>
      </c>
      <c r="H274" s="175">
        <f>VLOOKUP(E274,Data!$B$23:$E$400,3,FALSE)</f>
        <v>958.26880014999995</v>
      </c>
      <c r="I274" s="317">
        <f>VLOOKUP(E274,Data!$B$23:$E$400,2,FALSE)</f>
        <v>44601</v>
      </c>
    </row>
    <row r="275" spans="1:9" ht="13.8" x14ac:dyDescent="0.25">
      <c r="A275" s="237"/>
      <c r="B275" s="237"/>
      <c r="C275" s="175"/>
      <c r="D275" s="175"/>
      <c r="E275" s="237"/>
      <c r="F275" s="175"/>
      <c r="G275" s="175"/>
      <c r="H275" s="175"/>
      <c r="I275" s="317"/>
    </row>
    <row r="276" spans="1:9" ht="13.8" x14ac:dyDescent="0.25">
      <c r="A276" s="316" t="s">
        <v>101</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1312.5627228799999</v>
      </c>
      <c r="G277" s="275">
        <f>IF(IFERROR(VLOOKUP(E277,Data!$O$23:$P$196,2,FALSE),0)=0,0,(F277-IFERROR(VLOOKUP(E277,Data!$O$23:$P$196,2,FALSE),0))/ABS(IFERROR(VLOOKUP(E277,Data!$O$23:$P$196,2,FALSE),0)))</f>
        <v>-6.5490007568704101E-2</v>
      </c>
      <c r="H277" s="175">
        <f>VLOOKUP(E277,Data!$B$23:$E$273,3,FALSE)</f>
        <v>5041.9399999999996</v>
      </c>
      <c r="I277" s="317">
        <f>VLOOKUP(E277,Data!$B$23:$E$273,2,FALSE)</f>
        <v>39400</v>
      </c>
    </row>
    <row r="278" spans="1:9" ht="13.8" x14ac:dyDescent="0.25">
      <c r="A278" s="237"/>
      <c r="B278" s="237"/>
      <c r="C278" s="175"/>
      <c r="D278" s="175"/>
      <c r="E278" s="237"/>
      <c r="F278" s="175"/>
      <c r="G278" s="275"/>
      <c r="H278" s="175"/>
      <c r="I278" s="317"/>
    </row>
    <row r="279" spans="1:9" ht="13.8" x14ac:dyDescent="0.25">
      <c r="A279" s="237"/>
      <c r="B279" s="237"/>
      <c r="C279" s="175"/>
      <c r="D279" s="175"/>
      <c r="E279" s="237"/>
      <c r="F279" s="175"/>
      <c r="G279" s="175"/>
      <c r="H279" s="175"/>
      <c r="I279" s="317"/>
    </row>
    <row r="282" spans="1:9" ht="13.8" x14ac:dyDescent="0.25">
      <c r="A282" s="237"/>
      <c r="B282" s="237"/>
      <c r="C282" s="175"/>
      <c r="D282" s="175"/>
      <c r="E282" s="237"/>
      <c r="F282" s="175"/>
      <c r="G282" s="275"/>
      <c r="H282" s="175"/>
      <c r="I282" s="317"/>
    </row>
    <row r="284" spans="1:9" ht="14.4" thickBot="1" x14ac:dyDescent="0.3">
      <c r="A284" s="278"/>
      <c r="B284" s="278"/>
      <c r="C284" s="174"/>
      <c r="D284" s="174"/>
      <c r="E284" s="174"/>
      <c r="F284" s="320"/>
      <c r="G284" s="278"/>
      <c r="H284" s="278"/>
      <c r="I284" s="278"/>
    </row>
    <row r="285" spans="1:9" ht="13.8" thickTop="1" x14ac:dyDescent="0.25">
      <c r="A285" s="345" t="s">
        <v>503</v>
      </c>
      <c r="D285" s="2"/>
      <c r="E285" s="2"/>
      <c r="F285" s="12"/>
    </row>
    <row r="286" spans="1:9" x14ac:dyDescent="0.25">
      <c r="A286" s="59" t="s">
        <v>106</v>
      </c>
      <c r="D286" s="2"/>
      <c r="E286" s="2"/>
      <c r="F286" s="12"/>
    </row>
    <row r="288" spans="1:9" ht="13.8" thickBot="1" x14ac:dyDescent="0.3"/>
    <row r="289" spans="1:12" ht="25.2" thickBot="1" x14ac:dyDescent="0.45">
      <c r="A289" s="356" t="s">
        <v>506</v>
      </c>
      <c r="B289" s="357"/>
      <c r="C289" s="358"/>
      <c r="D289" s="354"/>
      <c r="E289" s="354"/>
      <c r="F289" s="355"/>
      <c r="G289" s="349"/>
    </row>
    <row r="290" spans="1:12" x14ac:dyDescent="0.25">
      <c r="A290" s="353"/>
      <c r="B290" s="353"/>
      <c r="C290" s="353"/>
      <c r="D290" s="349"/>
      <c r="E290" s="349"/>
      <c r="F290" s="349"/>
      <c r="G290" s="349"/>
    </row>
    <row r="291" spans="1:12" ht="34.799999999999997" x14ac:dyDescent="0.55000000000000004">
      <c r="A291" s="352" t="s">
        <v>507</v>
      </c>
      <c r="B291" s="351"/>
      <c r="C291" s="351"/>
      <c r="D291" s="351"/>
      <c r="E291" s="351"/>
      <c r="F291" s="351"/>
      <c r="G291" s="350"/>
    </row>
    <row r="292" spans="1:12" x14ac:dyDescent="0.25">
      <c r="A292" s="350"/>
      <c r="B292" s="350"/>
      <c r="C292" s="350"/>
      <c r="D292" s="350"/>
      <c r="E292" s="350"/>
      <c r="F292" s="350"/>
      <c r="G292" s="350"/>
    </row>
    <row r="293" spans="1:12" ht="34.799999999999997" x14ac:dyDescent="0.55000000000000004">
      <c r="A293" s="352" t="s">
        <v>508</v>
      </c>
      <c r="B293" s="351"/>
      <c r="C293" s="351"/>
      <c r="D293" s="351"/>
      <c r="E293" s="351"/>
      <c r="F293" s="351"/>
      <c r="G293" s="350"/>
    </row>
    <row r="294" spans="1:12" x14ac:dyDescent="0.25">
      <c r="A294" s="350"/>
      <c r="B294" s="350"/>
      <c r="C294" s="350"/>
      <c r="D294" s="349"/>
      <c r="E294" s="349"/>
      <c r="F294" s="349"/>
      <c r="G294" s="350"/>
    </row>
    <row r="295" spans="1:12" x14ac:dyDescent="0.25">
      <c r="A295" s="387" t="s">
        <v>509</v>
      </c>
      <c r="B295" s="387"/>
      <c r="C295" s="387"/>
      <c r="D295" s="349"/>
      <c r="E295" s="349"/>
      <c r="F295" s="349"/>
      <c r="G295" s="350"/>
    </row>
    <row r="296" spans="1:12" x14ac:dyDescent="0.25">
      <c r="A296" s="387"/>
      <c r="B296" s="387"/>
      <c r="C296" s="387"/>
      <c r="D296" s="350"/>
      <c r="E296" s="350"/>
      <c r="F296" s="350"/>
      <c r="G296" s="350"/>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76" t="str">
        <f>"Market Profile - "&amp; TEXT($H$3,"MMM")&amp;" "&amp;TEXT($H$3,"YYYY")</f>
        <v>Market Profile - May 2022</v>
      </c>
      <c r="B339" s="237"/>
      <c r="C339" s="237"/>
      <c r="D339" s="237"/>
      <c r="E339" s="380" t="s">
        <v>184</v>
      </c>
      <c r="F339" s="380"/>
      <c r="G339" s="380"/>
      <c r="H339" s="380"/>
      <c r="I339" s="380"/>
    </row>
    <row r="340" spans="1:12" ht="10.5" customHeight="1" thickBot="1" x14ac:dyDescent="0.3">
      <c r="A340" s="377"/>
      <c r="B340" s="267"/>
      <c r="C340" s="267"/>
      <c r="D340" s="267"/>
      <c r="E340" s="381"/>
      <c r="F340" s="381"/>
      <c r="G340" s="381"/>
      <c r="H340" s="381"/>
      <c r="I340" s="381"/>
    </row>
    <row r="341" spans="1:12" ht="38.25" customHeight="1" thickBot="1" x14ac:dyDescent="0.3">
      <c r="A341" s="314"/>
      <c r="B341" s="314"/>
      <c r="C341" s="321" t="str">
        <f>TEXT($H$3,"MMM")&amp;" "&amp;TEXT($H$3,"YYYY")</f>
        <v>May 2022</v>
      </c>
      <c r="D341" s="314"/>
      <c r="E341" s="321" t="str">
        <f>TEXT(DATE(2000,TEXT(H3,"M")-1,1),"mmm")&amp; " "&amp; TEXT(H3,"YYYY")</f>
        <v>Apr 2022</v>
      </c>
      <c r="F341" s="172" t="s">
        <v>173</v>
      </c>
      <c r="G341" s="314"/>
      <c r="H341" s="322" t="str">
        <f>TEXT($H$3,"MMM")&amp;" "&amp;TEXT($H$3,"YYYY")-1</f>
        <v>May 2021</v>
      </c>
      <c r="I341" s="322" t="s">
        <v>174</v>
      </c>
    </row>
    <row r="342" spans="1:12" ht="13.8" x14ac:dyDescent="0.25">
      <c r="A342" s="316" t="s">
        <v>107</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431</v>
      </c>
      <c r="B344" s="236"/>
      <c r="C344" s="3">
        <f>SUMIFS(Data!$AC:$AC,Data!$Z:$Z,MarketProfile!A344,Data!$AE:$AE,"1")</f>
        <v>1696</v>
      </c>
      <c r="D344" s="367">
        <f>SUMIFS(Data!$AQ:$AQ,Data!$AN:$AN,MarketProfile!A344,Data!$AS:$AS,"1")</f>
        <v>1102</v>
      </c>
      <c r="E344" s="367"/>
      <c r="F344" s="171">
        <f>IFERROR(IF(OR(AND(D344="",C344=""),AND(D344=0,C344=0)),"",
IF(OR(D344="",D344=0),1,
IF(OR(D344&lt;&gt;"",D344&lt;&gt;0),(C344-D344)/ABS(D344)))),-1)</f>
        <v>0.53901996370235938</v>
      </c>
      <c r="G344" s="367">
        <f>SUMIFS(Data!$BE:$BE,Data!$BB:$BB,MarketProfile!A344,Data!BG:BG,"1")</f>
        <v>2509</v>
      </c>
      <c r="H344" s="367"/>
      <c r="I344" s="171">
        <f t="shared" ref="I344:I351" si="18">IFERROR(IF(OR(AND(G344="",C344=""),AND(G344=0,C344=0)),"",
IF(OR(G344="",G344=0),1,
IF(OR(G344&lt;&gt;"",G344&lt;&gt;0),(C344-G344)/ABS(G344)))),-1)</f>
        <v>-0.32403347947389399</v>
      </c>
      <c r="J344" s="153"/>
    </row>
    <row r="345" spans="1:12" x14ac:dyDescent="0.25">
      <c r="A345" s="236" t="s">
        <v>164</v>
      </c>
      <c r="B345" s="236"/>
      <c r="C345" s="3">
        <f>SUMIFS(Data!$AC:$AC,Data!$Z:$Z,MarketProfile!A345,Data!$AE:$AE,"1")</f>
        <v>6265</v>
      </c>
      <c r="D345" s="367">
        <f>SUMIFS(Data!$AQ:$AQ,Data!$AN:$AN,MarketProfile!A345,Data!$AS:$AS,"1")</f>
        <v>4171</v>
      </c>
      <c r="E345" s="367"/>
      <c r="F345" s="171">
        <f t="shared" ref="F345:F352" si="19">IFERROR(IF(OR(AND(D345="",C345=""),AND(D345=0,C345=0)),"",
IF(OR(D345="",D345=0),1,
IF(OR(D345&lt;&gt;"",D345&lt;&gt;0),(C345-D345)/ABS(D345)))),-1)</f>
        <v>0.50203788060417165</v>
      </c>
      <c r="G345" s="367">
        <f>SUMIFS(Data!$BE:$BE,Data!$BB:$BB,MarketProfile!A345,Data!BG:BG,"1")</f>
        <v>4016</v>
      </c>
      <c r="H345" s="367"/>
      <c r="I345" s="171">
        <f t="shared" si="18"/>
        <v>0.56000996015936255</v>
      </c>
      <c r="J345" s="153"/>
    </row>
    <row r="346" spans="1:12" x14ac:dyDescent="0.25">
      <c r="A346" s="236" t="s">
        <v>432</v>
      </c>
      <c r="B346" s="236"/>
      <c r="C346" s="3">
        <f>SUMIFS(Data!$AC:$AC,Data!$Z:$Z,MarketProfile!A346,Data!$AE:$AE,"1")</f>
        <v>9786</v>
      </c>
      <c r="D346" s="367">
        <f>SUMIFS(Data!$AQ:$AQ,Data!$AN:$AN,MarketProfile!A346,Data!$AS:$AS,"1")</f>
        <v>7860</v>
      </c>
      <c r="E346" s="367"/>
      <c r="F346" s="171">
        <f t="shared" si="19"/>
        <v>0.24503816793893129</v>
      </c>
      <c r="G346" s="367">
        <f>SUMIFS(Data!$BE:$BE,Data!$BB:$BB,MarketProfile!A346,Data!BG:BG,"1")</f>
        <v>11173</v>
      </c>
      <c r="H346" s="367"/>
      <c r="I346" s="171">
        <f t="shared" si="18"/>
        <v>-0.12413854828604672</v>
      </c>
      <c r="J346" s="153"/>
    </row>
    <row r="347" spans="1:12" x14ac:dyDescent="0.25">
      <c r="A347" s="236" t="s">
        <v>129</v>
      </c>
      <c r="B347" s="236"/>
      <c r="C347" s="3">
        <f>SUMIFS(Data!$AC:$AC,Data!$Z:$Z,MarketProfile!A347,Data!$AE:$AE,"1")</f>
        <v>37</v>
      </c>
      <c r="D347" s="367">
        <f>SUMIFS(Data!$AQ:$AQ,Data!$AN:$AN,MarketProfile!A347,Data!$AS:$AS,"1")</f>
        <v>24</v>
      </c>
      <c r="E347" s="367"/>
      <c r="F347" s="171">
        <f t="shared" si="19"/>
        <v>0.54166666666666663</v>
      </c>
      <c r="G347" s="367">
        <f>SUMIFS(Data!$BE:$BE,Data!$BB:$BB,MarketProfile!A347,Data!BG:BG,"1")</f>
        <v>30</v>
      </c>
      <c r="H347" s="367"/>
      <c r="I347" s="171">
        <f t="shared" si="18"/>
        <v>0.23333333333333334</v>
      </c>
      <c r="J347" s="153"/>
    </row>
    <row r="348" spans="1:12" x14ac:dyDescent="0.25">
      <c r="A348" s="236" t="s">
        <v>433</v>
      </c>
      <c r="B348" s="236"/>
      <c r="C348" s="3">
        <f>SUMIFS(Data!$AC:$AC,Data!$Z:$Z,MarketProfile!A348,Data!$AE:$AE,"1")</f>
        <v>2808</v>
      </c>
      <c r="D348" s="367">
        <f>SUMIFS(Data!$AQ:$AQ,Data!$AN:$AN,MarketProfile!A348,Data!$AS:$AS,"1")</f>
        <v>2898</v>
      </c>
      <c r="E348" s="367"/>
      <c r="F348" s="171">
        <f t="shared" si="19"/>
        <v>-3.1055900621118012E-2</v>
      </c>
      <c r="G348" s="367">
        <f>SUMIFS(Data!$BE:$BE,Data!$BB:$BB,MarketProfile!A348,Data!BG:BG,"1")</f>
        <v>2665</v>
      </c>
      <c r="H348" s="367"/>
      <c r="I348" s="171">
        <f t="shared" si="18"/>
        <v>5.3658536585365853E-2</v>
      </c>
      <c r="J348" s="153"/>
    </row>
    <row r="349" spans="1:12" x14ac:dyDescent="0.25">
      <c r="A349" s="236" t="s">
        <v>434</v>
      </c>
      <c r="B349" s="236"/>
      <c r="C349" s="3">
        <f>SUMIFS(Data!$AC:$AC,Data!$Z:$Z,MarketProfile!A349,Data!$AE:$AE,"1")</f>
        <v>12157</v>
      </c>
      <c r="D349" s="367">
        <f>SUMIFS(Data!$AQ:$AQ,Data!$AN:$AN,MarketProfile!A349,Data!$AS:$AS,"1")</f>
        <v>10147</v>
      </c>
      <c r="E349" s="367"/>
      <c r="F349" s="171">
        <f t="shared" si="19"/>
        <v>0.19808810485857889</v>
      </c>
      <c r="G349" s="367">
        <f>SUMIFS(Data!$BE:$BE,Data!$BB:$BB,MarketProfile!A349,Data!BG:BG,"1")</f>
        <v>12282</v>
      </c>
      <c r="H349" s="367"/>
      <c r="I349" s="171">
        <f t="shared" si="18"/>
        <v>-1.017749552190197E-2</v>
      </c>
      <c r="J349" s="153"/>
    </row>
    <row r="350" spans="1:12" x14ac:dyDescent="0.25">
      <c r="A350" s="236" t="s">
        <v>435</v>
      </c>
      <c r="B350" s="236"/>
      <c r="C350" s="3">
        <f>SUMIFS(Data!$AC:$AC,Data!$Z:$Z,MarketProfile!A350,Data!$AE:$AE,"1")</f>
        <v>8</v>
      </c>
      <c r="D350" s="367">
        <f>SUMIFS(Data!$AQ:$AQ,Data!$AN:$AN,MarketProfile!A350,Data!$AS:$AS,"1")</f>
        <v>13</v>
      </c>
      <c r="E350" s="367"/>
      <c r="F350" s="171">
        <f t="shared" si="19"/>
        <v>-0.38461538461538464</v>
      </c>
      <c r="G350" s="367">
        <f>SUMIFS(Data!$BE:$BE,Data!$BB:$BB,MarketProfile!A350,Data!BG:BG,"1")</f>
        <v>14</v>
      </c>
      <c r="H350" s="367"/>
      <c r="I350" s="171">
        <f t="shared" si="18"/>
        <v>-0.42857142857142855</v>
      </c>
      <c r="J350" s="153"/>
    </row>
    <row r="351" spans="1:12" x14ac:dyDescent="0.25">
      <c r="A351" s="236" t="s">
        <v>130</v>
      </c>
      <c r="B351" s="236"/>
      <c r="C351" s="3">
        <f>SUMIFS(Data!$AC:$AC,Data!$Z:$Z,MarketProfile!A351,Data!$AE:$AE,"1")</f>
        <v>4</v>
      </c>
      <c r="D351" s="367">
        <f>SUMIFS(Data!$AQ:$AQ,Data!$AN:$AN,MarketProfile!A351,Data!$AS:$AS,"1")</f>
        <v>3</v>
      </c>
      <c r="E351" s="367"/>
      <c r="F351" s="171">
        <f t="shared" si="19"/>
        <v>0.33333333333333331</v>
      </c>
      <c r="G351" s="367">
        <f>SUMIFS(Data!$BE:$BE,Data!$BB:$BB,MarketProfile!A351,Data!BG:BG,"1")</f>
        <v>3</v>
      </c>
      <c r="H351" s="367"/>
      <c r="I351" s="171">
        <f t="shared" si="18"/>
        <v>0.33333333333333331</v>
      </c>
      <c r="J351" s="153"/>
    </row>
    <row r="352" spans="1:12" x14ac:dyDescent="0.25">
      <c r="A352" s="235" t="s">
        <v>167</v>
      </c>
      <c r="B352" s="236"/>
      <c r="C352" s="4">
        <f>SUM(C344:C351)</f>
        <v>32761</v>
      </c>
      <c r="D352" s="368">
        <f>SUM(D344:E351)</f>
        <v>26218</v>
      </c>
      <c r="E352" s="368">
        <f>SUM(E344:E351)</f>
        <v>0</v>
      </c>
      <c r="F352" s="160">
        <f t="shared" si="19"/>
        <v>0.24956137005110993</v>
      </c>
      <c r="G352" s="368">
        <f>SUM(G344:H351)</f>
        <v>32692</v>
      </c>
      <c r="H352" s="368">
        <f>SUM(H344:H351)</f>
        <v>0</v>
      </c>
      <c r="I352" s="160">
        <f>IFERROR(IF(OR(AND(G352="",C352=""),AND(G352=0,C352=0)),"",
IF(OR(G352="",G352=0),1,
IF(OR(G352&lt;&gt;"",G352&lt;&gt;0),(C352-G352)/ABS(G352)))),-1)</f>
        <v>2.1106080998409397E-3</v>
      </c>
      <c r="J352" s="153"/>
    </row>
    <row r="353" spans="1:9" x14ac:dyDescent="0.25">
      <c r="A353" s="134" t="s">
        <v>15</v>
      </c>
      <c r="B353" s="236"/>
      <c r="C353" s="3"/>
      <c r="D353" s="236"/>
      <c r="E353" s="236"/>
      <c r="F353" s="171"/>
      <c r="G353" s="236"/>
      <c r="H353" s="236"/>
      <c r="I353" s="171" t="s">
        <v>171</v>
      </c>
    </row>
    <row r="354" spans="1:9" x14ac:dyDescent="0.25">
      <c r="A354" s="236" t="s">
        <v>431</v>
      </c>
      <c r="B354" s="236"/>
      <c r="C354" s="3">
        <f>SUMIFS(Data!$AC:$AC,Data!$Z:$Z,MarketProfile!A354,Data!$AE:$AE,"0")</f>
        <v>4</v>
      </c>
      <c r="D354" s="367">
        <f>SUMIFS(Data!$AQ:$AQ,Data!$AN:$AN,MarketProfile!A354,Data!$AS:$AS,"0")</f>
        <v>2</v>
      </c>
      <c r="E354" s="367"/>
      <c r="F354" s="171">
        <f t="shared" ref="F354:F362" si="20">IFERROR(IF(OR(AND(D354="",C354=""),AND(D354=0,C354=0)),"",
IF(OR(D354="",D354=0),1,
IF(OR(D354&lt;&gt;"",D354&lt;&gt;0),(C354-D354)/ABS(D354)))),-1)</f>
        <v>1</v>
      </c>
      <c r="G354" s="367">
        <f>SUMIFS(Data!$BE:$BE,Data!$BB:$BB,MarketProfile!A354,Data!BG:BG,"0")</f>
        <v>177</v>
      </c>
      <c r="H354" s="367"/>
      <c r="I354" s="171">
        <f t="shared" ref="I354:I362" si="21">IFERROR(IF(OR(AND(G354="",C354=""),AND(G354=0,C354=0)),"",
IF(OR(G354="",G354=0),1,
IF(OR(G354&lt;&gt;"",G354&lt;&gt;0),(C354-G354)/ABS(G354)))),-1)</f>
        <v>-0.97740112994350281</v>
      </c>
    </row>
    <row r="355" spans="1:9" x14ac:dyDescent="0.25">
      <c r="A355" s="236" t="s">
        <v>164</v>
      </c>
      <c r="B355" s="236"/>
      <c r="C355" s="3">
        <f>SUMIFS(Data!$AC:$AC,Data!$Z:$Z,MarketProfile!A355,Data!$AE:$AE,"0")</f>
        <v>62</v>
      </c>
      <c r="D355" s="367">
        <f>SUMIFS(Data!$AQ:$AQ,Data!$AN:$AN,MarketProfile!A355,Data!$AS:$AS,"0")</f>
        <v>155</v>
      </c>
      <c r="E355" s="367"/>
      <c r="F355" s="171">
        <f t="shared" si="20"/>
        <v>-0.6</v>
      </c>
      <c r="G355" s="367">
        <f>SUMIFS(Data!$BE:$BE,Data!$BB:$BB,MarketProfile!A355,Data!BG:BG,"0")</f>
        <v>58</v>
      </c>
      <c r="H355" s="367"/>
      <c r="I355" s="171">
        <f t="shared" si="21"/>
        <v>6.8965517241379309E-2</v>
      </c>
    </row>
    <row r="356" spans="1:9" x14ac:dyDescent="0.25">
      <c r="A356" s="236" t="s">
        <v>432</v>
      </c>
      <c r="B356" s="236"/>
      <c r="C356" s="3">
        <f>SUMIFS(Data!$AC:$AC,Data!$Z:$Z,MarketProfile!A356,Data!$AE:$AE,"0")</f>
        <v>246</v>
      </c>
      <c r="D356" s="367">
        <f>SUMIFS(Data!$AQ:$AQ,Data!$AN:$AN,MarketProfile!A356,Data!$AS:$AS,"0")</f>
        <v>407</v>
      </c>
      <c r="E356" s="367"/>
      <c r="F356" s="171">
        <f t="shared" si="20"/>
        <v>-0.39557739557739557</v>
      </c>
      <c r="G356" s="367">
        <f>SUMIFS(Data!$BE:$BE,Data!$BB:$BB,MarketProfile!A356,Data!BG:BG,"0")</f>
        <v>982</v>
      </c>
      <c r="H356" s="367"/>
      <c r="I356" s="171">
        <f t="shared" si="21"/>
        <v>-0.74949083503054992</v>
      </c>
    </row>
    <row r="357" spans="1:9" x14ac:dyDescent="0.25">
      <c r="A357" s="236" t="s">
        <v>129</v>
      </c>
      <c r="B357" s="236"/>
      <c r="C357" s="3">
        <f>SUMIFS(Data!$AC:$AC,Data!$Z:$Z,MarketProfile!A357,Data!$AE:$AE,"0")</f>
        <v>0</v>
      </c>
      <c r="D357" s="367">
        <f>SUMIFS(Data!$AQ:$AQ,Data!$AN:$AN,MarketProfile!A357,Data!$AS:$AS,"0")</f>
        <v>0</v>
      </c>
      <c r="E357" s="367"/>
      <c r="F357" s="171" t="str">
        <f t="shared" si="20"/>
        <v/>
      </c>
      <c r="G357" s="367">
        <f>SUMIFS(Data!$BE:$BE,Data!$BB:$BB,MarketProfile!A357,Data!BG:BG,"0")</f>
        <v>0</v>
      </c>
      <c r="H357" s="367"/>
      <c r="I357" s="171" t="str">
        <f t="shared" si="21"/>
        <v/>
      </c>
    </row>
    <row r="358" spans="1:9" x14ac:dyDescent="0.25">
      <c r="A358" s="236" t="s">
        <v>433</v>
      </c>
      <c r="B358" s="236"/>
      <c r="C358" s="3">
        <f>SUMIFS(Data!$AC:$AC,Data!$Z:$Z,MarketProfile!A358,Data!$AE:$AE,"0")</f>
        <v>33</v>
      </c>
      <c r="D358" s="367">
        <f>SUMIFS(Data!$AQ:$AQ,Data!$AN:$AN,MarketProfile!A358,Data!$AS:$AS,"0")</f>
        <v>26</v>
      </c>
      <c r="E358" s="367"/>
      <c r="F358" s="171">
        <f t="shared" si="20"/>
        <v>0.26923076923076922</v>
      </c>
      <c r="G358" s="367">
        <f>SUMIFS(Data!$BE:$BE,Data!$BB:$BB,MarketProfile!A358,Data!BG:BG,"0")</f>
        <v>5</v>
      </c>
      <c r="H358" s="367"/>
      <c r="I358" s="171">
        <f t="shared" si="21"/>
        <v>5.6</v>
      </c>
    </row>
    <row r="359" spans="1:9" x14ac:dyDescent="0.25">
      <c r="A359" s="236" t="s">
        <v>434</v>
      </c>
      <c r="B359" s="236"/>
      <c r="C359" s="3">
        <f>SUMIFS(Data!$AC:$AC,Data!$Z:$Z,MarketProfile!A359,Data!$AE:$AE,"0")</f>
        <v>818</v>
      </c>
      <c r="D359" s="367">
        <f>SUMIFS(Data!$AQ:$AQ,Data!$AN:$AN,MarketProfile!A359,Data!$AS:$AS,"0")</f>
        <v>841</v>
      </c>
      <c r="E359" s="367"/>
      <c r="F359" s="171">
        <f t="shared" si="20"/>
        <v>-2.7348394768133173E-2</v>
      </c>
      <c r="G359" s="367">
        <f>SUMIFS(Data!$BE:$BE,Data!$BB:$BB,MarketProfile!A359,Data!BG:BG,"0")</f>
        <v>1865</v>
      </c>
      <c r="H359" s="367"/>
      <c r="I359" s="171">
        <f t="shared" si="21"/>
        <v>-0.5613941018766756</v>
      </c>
    </row>
    <row r="360" spans="1:9" x14ac:dyDescent="0.25">
      <c r="A360" s="236" t="s">
        <v>435</v>
      </c>
      <c r="B360" s="236"/>
      <c r="C360" s="3">
        <f>SUMIFS(Data!$AC:$AC,Data!$Z:$Z,MarketProfile!A360,Data!$AE:$AE,"0")</f>
        <v>0</v>
      </c>
      <c r="D360" s="367">
        <f>SUMIFS(Data!$AQ:$AQ,Data!$AN:$AN,MarketProfile!A360,Data!$AS:$AS,"0")</f>
        <v>0</v>
      </c>
      <c r="E360" s="367"/>
      <c r="F360" s="171" t="str">
        <f t="shared" si="20"/>
        <v/>
      </c>
      <c r="G360" s="367">
        <f>SUMIFS(Data!$BE:$BE,Data!$BB:$BB,MarketProfile!A360,Data!BG:BG,"0")</f>
        <v>0</v>
      </c>
      <c r="H360" s="367"/>
      <c r="I360" s="171" t="str">
        <f t="shared" si="21"/>
        <v/>
      </c>
    </row>
    <row r="361" spans="1:9" x14ac:dyDescent="0.25">
      <c r="A361" s="236" t="s">
        <v>130</v>
      </c>
      <c r="B361" s="236"/>
      <c r="C361" s="3">
        <f>SUMIFS(Data!$AC:$AC,Data!$Z:$Z,MarketProfile!A361,Data!$AE:$AE,"0")</f>
        <v>0</v>
      </c>
      <c r="D361" s="367">
        <f>SUMIFS(Data!$AQ:$AQ,Data!$AN:$AN,MarketProfile!A361,Data!$AS:$AS,"0")</f>
        <v>0</v>
      </c>
      <c r="E361" s="367"/>
      <c r="F361" s="171" t="str">
        <f t="shared" si="20"/>
        <v/>
      </c>
      <c r="G361" s="367">
        <f>SUMIFS(Data!$BE:$BE,Data!$BB:$BB,MarketProfile!A361,Data!BG:BG,"0")</f>
        <v>0</v>
      </c>
      <c r="H361" s="367"/>
      <c r="I361" s="171" t="str">
        <f t="shared" si="21"/>
        <v/>
      </c>
    </row>
    <row r="362" spans="1:9" x14ac:dyDescent="0.25">
      <c r="A362" s="235" t="s">
        <v>168</v>
      </c>
      <c r="B362" s="236"/>
      <c r="C362" s="4">
        <f>SUM(C354:C361)</f>
        <v>1163</v>
      </c>
      <c r="D362" s="368">
        <f>SUM(D354:E361)</f>
        <v>1431</v>
      </c>
      <c r="E362" s="368">
        <f>SUM(E354:E361)</f>
        <v>0</v>
      </c>
      <c r="F362" s="160">
        <f t="shared" si="20"/>
        <v>-0.18728162124388539</v>
      </c>
      <c r="G362" s="368">
        <f>SUM(G354:H361)</f>
        <v>3087</v>
      </c>
      <c r="H362" s="368">
        <f>SUM(H354:H361)</f>
        <v>0</v>
      </c>
      <c r="I362" s="160">
        <f t="shared" si="21"/>
        <v>-0.62325882734046001</v>
      </c>
    </row>
    <row r="363" spans="1:9" x14ac:dyDescent="0.25">
      <c r="A363" s="132" t="s">
        <v>122</v>
      </c>
      <c r="B363" s="132"/>
      <c r="C363" s="162"/>
      <c r="D363" s="132"/>
      <c r="E363" s="132"/>
      <c r="F363" s="132" t="s">
        <v>171</v>
      </c>
      <c r="G363" s="132"/>
      <c r="H363" s="133"/>
      <c r="I363" s="163" t="s">
        <v>171</v>
      </c>
    </row>
    <row r="364" spans="1:9" x14ac:dyDescent="0.25">
      <c r="A364" s="134" t="s">
        <v>14</v>
      </c>
      <c r="B364" s="236"/>
      <c r="C364" s="3"/>
      <c r="D364" s="236"/>
      <c r="E364" s="236"/>
      <c r="F364" s="135"/>
      <c r="G364" s="236"/>
      <c r="H364" s="236"/>
      <c r="I364" s="171"/>
    </row>
    <row r="365" spans="1:9" x14ac:dyDescent="0.25">
      <c r="A365" s="236" t="s">
        <v>431</v>
      </c>
      <c r="B365" s="236"/>
      <c r="C365" s="3">
        <f>SUMIFS(Data!$AB:$AB,Data!$Z:$Z,MarketProfile!A365,Data!$AE:$AE,"1")</f>
        <v>18449</v>
      </c>
      <c r="D365" s="367">
        <f>SUMIFS(Data!$AP:$AP,Data!$AN:$AN,MarketProfile!A365,Data!$AS:$AS,"1")</f>
        <v>16042</v>
      </c>
      <c r="E365" s="367"/>
      <c r="F365" s="171">
        <f t="shared" ref="F365:F373" si="22">IFERROR(IF(OR(AND(D365="",C365=""),AND(D365=0,C365=0)),"",
IF(OR(D365="",D365=0),1,
IF(OR(D365&lt;&gt;"",D365&lt;&gt;0),(C365-D365)/ABS(D365)))),-1)</f>
        <v>0.15004363545692556</v>
      </c>
      <c r="G365" s="367">
        <f>SUMIFS(Data!$BD:$BD,Data!$BB:$BB,MarketProfile!A365,Data!BG:BG,"1")</f>
        <v>42005</v>
      </c>
      <c r="H365" s="367"/>
      <c r="I365" s="171">
        <f t="shared" ref="I365:I373" si="23">IFERROR(IF(OR(AND(G365="",C365=""),AND(G365=0,C365=0)),"",
IF(OR(G365="",G365=0),1,
IF(OR(G365&lt;&gt;"",G365&lt;&gt;0),(C365-G365)/ABS(G365)))),-1)</f>
        <v>-0.56079038209736931</v>
      </c>
    </row>
    <row r="366" spans="1:9" x14ac:dyDescent="0.25">
      <c r="A366" s="236" t="s">
        <v>164</v>
      </c>
      <c r="B366" s="236"/>
      <c r="C366" s="3">
        <f>SUMIFS(Data!$AB:$AB,Data!$Z:$Z,MarketProfile!A366,Data!$AE:$AE,"1")</f>
        <v>77478</v>
      </c>
      <c r="D366" s="367">
        <f>SUMIFS(Data!$AP:$AP,Data!$AN:$AN,MarketProfile!A366,Data!$AS:$AS,"1")</f>
        <v>43574</v>
      </c>
      <c r="E366" s="367"/>
      <c r="F366" s="171">
        <f t="shared" si="22"/>
        <v>0.77807867076697113</v>
      </c>
      <c r="G366" s="367">
        <f>SUMIFS(Data!$BD:$BD,Data!$BB:$BB,MarketProfile!A366,Data!BG:BG,"1")</f>
        <v>51007</v>
      </c>
      <c r="H366" s="367"/>
      <c r="I366" s="171">
        <f t="shared" si="23"/>
        <v>0.51896798478640183</v>
      </c>
    </row>
    <row r="367" spans="1:9" x14ac:dyDescent="0.25">
      <c r="A367" s="236" t="s">
        <v>432</v>
      </c>
      <c r="B367" s="236"/>
      <c r="C367" s="3">
        <f>SUMIFS(Data!$AB:$AB,Data!$Z:$Z,MarketProfile!A367,Data!$AE:$AE,"1")</f>
        <v>56983</v>
      </c>
      <c r="D367" s="367">
        <f>SUMIFS(Data!$AP:$AP,Data!$AN:$AN,MarketProfile!A367,Data!$AS:$AS,"1")</f>
        <v>47602</v>
      </c>
      <c r="E367" s="367"/>
      <c r="F367" s="171">
        <f t="shared" si="22"/>
        <v>0.19707155161547835</v>
      </c>
      <c r="G367" s="367">
        <f>SUMIFS(Data!$BD:$BD,Data!$BB:$BB,MarketProfile!A367,Data!BG:BG,"1")</f>
        <v>88169</v>
      </c>
      <c r="H367" s="367"/>
      <c r="I367" s="171">
        <f t="shared" si="23"/>
        <v>-0.3537070852567229</v>
      </c>
    </row>
    <row r="368" spans="1:9" x14ac:dyDescent="0.25">
      <c r="A368" s="236" t="s">
        <v>129</v>
      </c>
      <c r="B368" s="236"/>
      <c r="C368" s="3">
        <f>SUMIFS(Data!$AB:$AB,Data!$Z:$Z,MarketProfile!A368,Data!$AE:$AE,"1")</f>
        <v>147</v>
      </c>
      <c r="D368" s="367">
        <f>SUMIFS(Data!$AP:$AP,Data!$AN:$AN,MarketProfile!A368,Data!$AS:$AS,"1")</f>
        <v>44</v>
      </c>
      <c r="E368" s="367"/>
      <c r="F368" s="171">
        <f t="shared" si="22"/>
        <v>2.3409090909090908</v>
      </c>
      <c r="G368" s="367">
        <f>SUMIFS(Data!$BD:$BD,Data!$BB:$BB,MarketProfile!A368,Data!BG:BG,"1")</f>
        <v>135</v>
      </c>
      <c r="H368" s="367"/>
      <c r="I368" s="171">
        <f t="shared" si="23"/>
        <v>8.8888888888888892E-2</v>
      </c>
    </row>
    <row r="369" spans="1:9" x14ac:dyDescent="0.25">
      <c r="A369" s="236" t="s">
        <v>433</v>
      </c>
      <c r="B369" s="236"/>
      <c r="C369" s="3">
        <f>SUMIFS(Data!$AB:$AB,Data!$Z:$Z,MarketProfile!A369,Data!$AE:$AE,"1")</f>
        <v>19609</v>
      </c>
      <c r="D369" s="367">
        <f>SUMIFS(Data!$AP:$AP,Data!$AN:$AN,MarketProfile!A369,Data!$AS:$AS,"1")</f>
        <v>15866</v>
      </c>
      <c r="E369" s="367"/>
      <c r="F369" s="171">
        <f t="shared" si="22"/>
        <v>0.2359132736669608</v>
      </c>
      <c r="G369" s="367">
        <f>SUMIFS(Data!$BD:$BD,Data!$BB:$BB,MarketProfile!A369,Data!BG:BG,"1")</f>
        <v>21310</v>
      </c>
      <c r="H369" s="367"/>
      <c r="I369" s="171">
        <f t="shared" si="23"/>
        <v>-7.9821679962458938E-2</v>
      </c>
    </row>
    <row r="370" spans="1:9" x14ac:dyDescent="0.25">
      <c r="A370" s="236" t="s">
        <v>434</v>
      </c>
      <c r="B370" s="236"/>
      <c r="C370" s="3">
        <f>SUMIFS(Data!$AB:$AB,Data!$Z:$Z,MarketProfile!A370,Data!$AE:$AE,"1")</f>
        <v>56061</v>
      </c>
      <c r="D370" s="367">
        <f>SUMIFS(Data!$AP:$AP,Data!$AN:$AN,MarketProfile!A370,Data!$AS:$AS,"1")</f>
        <v>46325</v>
      </c>
      <c r="E370" s="367"/>
      <c r="F370" s="171">
        <f t="shared" si="22"/>
        <v>0.2101672962763087</v>
      </c>
      <c r="G370" s="367">
        <f>SUMIFS(Data!$BD:$BD,Data!$BB:$BB,MarketProfile!A370,Data!BG:BG,"1")</f>
        <v>77848</v>
      </c>
      <c r="H370" s="367"/>
      <c r="I370" s="171">
        <f t="shared" si="23"/>
        <v>-0.27986589250847804</v>
      </c>
    </row>
    <row r="371" spans="1:9" x14ac:dyDescent="0.25">
      <c r="A371" s="236" t="s">
        <v>435</v>
      </c>
      <c r="B371" s="236"/>
      <c r="C371" s="3">
        <f>SUMIFS(Data!$AB:$AB,Data!$Z:$Z,MarketProfile!A371,Data!$AE:$AE,"1")</f>
        <v>10</v>
      </c>
      <c r="D371" s="367">
        <f>SUMIFS(Data!$AP:$AP,Data!$AN:$AN,MarketProfile!A371,Data!$AS:$AS,"1")</f>
        <v>18</v>
      </c>
      <c r="E371" s="367"/>
      <c r="F371" s="171">
        <f t="shared" si="22"/>
        <v>-0.44444444444444442</v>
      </c>
      <c r="G371" s="367">
        <f>SUMIFS(Data!$BD:$BD,Data!$BB:$BB,MarketProfile!A371,Data!BG:BG,"1")</f>
        <v>75</v>
      </c>
      <c r="H371" s="367"/>
      <c r="I371" s="171">
        <f t="shared" si="23"/>
        <v>-0.8666666666666667</v>
      </c>
    </row>
    <row r="372" spans="1:9" x14ac:dyDescent="0.25">
      <c r="A372" s="236" t="s">
        <v>130</v>
      </c>
      <c r="B372" s="236"/>
      <c r="C372" s="3">
        <f>SUMIFS(Data!$AB:$AB,Data!$Z:$Z,MarketProfile!A372,Data!$AE:$AE,"1")</f>
        <v>26</v>
      </c>
      <c r="D372" s="367">
        <f>SUMIFS(Data!$AP:$AP,Data!$AN:$AN,MarketProfile!A372,Data!$AS:$AS,"1")</f>
        <v>9</v>
      </c>
      <c r="E372" s="367"/>
      <c r="F372" s="171">
        <f t="shared" si="22"/>
        <v>1.8888888888888888</v>
      </c>
      <c r="G372" s="367">
        <f>SUMIFS(Data!$BD:$BD,Data!$BB:$BB,MarketProfile!A372,Data!BG:BG,"1")</f>
        <v>60</v>
      </c>
      <c r="H372" s="367"/>
      <c r="I372" s="171">
        <f t="shared" si="23"/>
        <v>-0.56666666666666665</v>
      </c>
    </row>
    <row r="373" spans="1:9" x14ac:dyDescent="0.25">
      <c r="A373" s="235" t="s">
        <v>167</v>
      </c>
      <c r="B373" s="236"/>
      <c r="C373" s="4">
        <f>SUM(C365:C372)</f>
        <v>228763</v>
      </c>
      <c r="D373" s="368">
        <f>SUM(D365:E372)</f>
        <v>169480</v>
      </c>
      <c r="E373" s="368">
        <f>SUM(E365:E372)</f>
        <v>0</v>
      </c>
      <c r="F373" s="160">
        <f t="shared" si="22"/>
        <v>0.34979348595704507</v>
      </c>
      <c r="G373" s="368">
        <f>SUM(G365:H372)</f>
        <v>280609</v>
      </c>
      <c r="H373" s="368">
        <f>SUM(H365:H372)</f>
        <v>0</v>
      </c>
      <c r="I373" s="160">
        <f t="shared" si="23"/>
        <v>-0.18476242743461543</v>
      </c>
    </row>
    <row r="374" spans="1:9" x14ac:dyDescent="0.25">
      <c r="A374" s="134" t="s">
        <v>15</v>
      </c>
      <c r="B374" s="236"/>
      <c r="C374" s="3"/>
      <c r="D374" s="236"/>
      <c r="E374" s="236"/>
      <c r="F374" s="171"/>
      <c r="G374" s="236"/>
      <c r="H374" s="236"/>
      <c r="I374" s="171"/>
    </row>
    <row r="375" spans="1:9" x14ac:dyDescent="0.25">
      <c r="A375" s="236" t="s">
        <v>431</v>
      </c>
      <c r="B375" s="236"/>
      <c r="C375" s="3">
        <f>SUMIFS(Data!$AB:$AB,Data!$Z:$Z,MarketProfile!A375,Data!$AE:$AE,"0")</f>
        <v>10</v>
      </c>
      <c r="D375" s="367">
        <f>SUMIFS(Data!$AP:$AP,Data!$AN:$AN,MarketProfile!A375,Data!$AS:$AS,"0")</f>
        <v>90</v>
      </c>
      <c r="E375" s="367"/>
      <c r="F375" s="171">
        <f t="shared" ref="F375:F383" si="24">IFERROR(IF(OR(AND(D375="",C375=""),AND(D375=0,C375=0)),"",
IF(OR(D375="",D375=0),1,
IF(OR(D375&lt;&gt;"",D375&lt;&gt;0),(C375-D375)/ABS(D375)))),-1)</f>
        <v>-0.88888888888888884</v>
      </c>
      <c r="G375" s="367">
        <f>SUMIFS(Data!$BD:$BD,Data!$BB:$BB,MarketProfile!A375,Data!BG:BG,"0")</f>
        <v>667</v>
      </c>
      <c r="H375" s="367"/>
      <c r="I375" s="171">
        <f t="shared" ref="I375:I383" si="25">IFERROR(IF(OR(AND(G375="",C375=""),AND(G375=0,C375=0)),"",
IF(OR(G375="",G375=0),1,
IF(OR(G375&lt;&gt;"",G375&lt;&gt;0),(C375-G375)/ABS(G375)))),-1)</f>
        <v>-0.98500749625187412</v>
      </c>
    </row>
    <row r="376" spans="1:9" x14ac:dyDescent="0.25">
      <c r="A376" s="236" t="s">
        <v>164</v>
      </c>
      <c r="B376" s="236"/>
      <c r="C376" s="3">
        <f>SUMIFS(Data!$AB:$AB,Data!$Z:$Z,MarketProfile!A376,Data!$AE:$AE,"0")</f>
        <v>888</v>
      </c>
      <c r="D376" s="367">
        <f>SUMIFS(Data!$AP:$AP,Data!$AN:$AN,MarketProfile!A376,Data!$AS:$AS,"0")</f>
        <v>958</v>
      </c>
      <c r="E376" s="367"/>
      <c r="F376" s="171">
        <f t="shared" si="24"/>
        <v>-7.3068893528183715E-2</v>
      </c>
      <c r="G376" s="367">
        <f>SUMIFS(Data!$BD:$BD,Data!$BB:$BB,MarketProfile!A376,Data!BG:BG,"0")</f>
        <v>2908</v>
      </c>
      <c r="H376" s="367"/>
      <c r="I376" s="171">
        <f t="shared" si="25"/>
        <v>-0.6946354883081155</v>
      </c>
    </row>
    <row r="377" spans="1:9" x14ac:dyDescent="0.25">
      <c r="A377" s="236" t="s">
        <v>432</v>
      </c>
      <c r="B377" s="236"/>
      <c r="C377" s="3">
        <f>SUMIFS(Data!$AB:$AB,Data!$Z:$Z,MarketProfile!A377,Data!$AE:$AE,"0")</f>
        <v>5417</v>
      </c>
      <c r="D377" s="367">
        <f>SUMIFS(Data!$AP:$AP,Data!$AN:$AN,MarketProfile!A377,Data!$AS:$AS,"0")</f>
        <v>4675</v>
      </c>
      <c r="E377" s="367"/>
      <c r="F377" s="171">
        <f t="shared" si="24"/>
        <v>0.15871657754010696</v>
      </c>
      <c r="G377" s="367">
        <f>SUMIFS(Data!$BD:$BD,Data!$BB:$BB,MarketProfile!A377,Data!BG:BG,"0")</f>
        <v>20357</v>
      </c>
      <c r="H377" s="367"/>
      <c r="I377" s="171">
        <f t="shared" si="25"/>
        <v>-0.73389988701675102</v>
      </c>
    </row>
    <row r="378" spans="1:9" x14ac:dyDescent="0.25">
      <c r="A378" s="236" t="s">
        <v>129</v>
      </c>
      <c r="B378" s="236"/>
      <c r="C378" s="3">
        <f>SUMIFS(Data!$AB:$AB,Data!$Z:$Z,MarketProfile!A378,Data!$AE:$AE,"0")</f>
        <v>0</v>
      </c>
      <c r="D378" s="367">
        <f>SUMIFS(Data!$AP:$AP,Data!$AN:$AN,MarketProfile!A378,Data!$AS:$AS,"0")</f>
        <v>0</v>
      </c>
      <c r="E378" s="367"/>
      <c r="F378" s="171" t="str">
        <f t="shared" si="24"/>
        <v/>
      </c>
      <c r="G378" s="367">
        <f>SUMIFS(Data!$BD:$BD,Data!$BB:$BB,MarketProfile!A378,Data!BG:BG,"0")</f>
        <v>0</v>
      </c>
      <c r="H378" s="367"/>
      <c r="I378" s="171" t="str">
        <f t="shared" si="25"/>
        <v/>
      </c>
    </row>
    <row r="379" spans="1:9" x14ac:dyDescent="0.25">
      <c r="A379" s="236" t="s">
        <v>433</v>
      </c>
      <c r="B379" s="236"/>
      <c r="C379" s="3">
        <f>SUMIFS(Data!$AB:$AB,Data!$Z:$Z,MarketProfile!A379,Data!$AE:$AE,"0")</f>
        <v>352</v>
      </c>
      <c r="D379" s="367">
        <f>SUMIFS(Data!$AP:$AP,Data!$AN:$AN,MarketProfile!A379,Data!$AS:$AS,"0")</f>
        <v>147</v>
      </c>
      <c r="E379" s="367"/>
      <c r="F379" s="171">
        <f t="shared" si="24"/>
        <v>1.3945578231292517</v>
      </c>
      <c r="G379" s="367">
        <f>SUMIFS(Data!$BD:$BD,Data!$BB:$BB,MarketProfile!A379,Data!BG:BG,"0")</f>
        <v>302</v>
      </c>
      <c r="H379" s="367"/>
      <c r="I379" s="171">
        <f t="shared" si="25"/>
        <v>0.16556291390728478</v>
      </c>
    </row>
    <row r="380" spans="1:9" x14ac:dyDescent="0.25">
      <c r="A380" s="236" t="s">
        <v>434</v>
      </c>
      <c r="B380" s="236"/>
      <c r="C380" s="3">
        <f>SUMIFS(Data!$AB:$AB,Data!$Z:$Z,MarketProfile!A380,Data!$AE:$AE,"0")</f>
        <v>7367</v>
      </c>
      <c r="D380" s="367">
        <f>SUMIFS(Data!$AP:$AP,Data!$AN:$AN,MarketProfile!A380,Data!$AS:$AS,"0")</f>
        <v>10045</v>
      </c>
      <c r="E380" s="367"/>
      <c r="F380" s="171">
        <f t="shared" si="24"/>
        <v>-0.26660029865604778</v>
      </c>
      <c r="G380" s="367">
        <f>SUMIFS(Data!$BD:$BD,Data!$BB:$BB,MarketProfile!A380,Data!BG:BG,"0")</f>
        <v>17887</v>
      </c>
      <c r="H380" s="367"/>
      <c r="I380" s="171">
        <f t="shared" si="25"/>
        <v>-0.5881366355453681</v>
      </c>
    </row>
    <row r="381" spans="1:9" x14ac:dyDescent="0.25">
      <c r="A381" s="236" t="s">
        <v>435</v>
      </c>
      <c r="B381" s="236"/>
      <c r="C381" s="3">
        <f>SUMIFS(Data!$AB:$AB,Data!$Z:$Z,MarketProfile!A381,Data!$AE:$AE,"0")</f>
        <v>0</v>
      </c>
      <c r="D381" s="367">
        <f>SUMIFS(Data!$AP:$AP,Data!$AN:$AN,MarketProfile!A381,Data!$AS:$AS,"0")</f>
        <v>0</v>
      </c>
      <c r="E381" s="367"/>
      <c r="F381" s="171" t="str">
        <f t="shared" si="24"/>
        <v/>
      </c>
      <c r="G381" s="367">
        <f>SUMIFS(Data!$BD:$BD,Data!$BB:$BB,MarketProfile!A381,Data!BG:BG,"0")</f>
        <v>0</v>
      </c>
      <c r="H381" s="367"/>
      <c r="I381" s="171" t="str">
        <f t="shared" si="25"/>
        <v/>
      </c>
    </row>
    <row r="382" spans="1:9" x14ac:dyDescent="0.25">
      <c r="A382" s="236" t="s">
        <v>130</v>
      </c>
      <c r="B382" s="236"/>
      <c r="C382" s="3">
        <f>SUMIFS(Data!$AB:$AB,Data!$Z:$Z,MarketProfile!A382,Data!$AE:$AE,"0")</f>
        <v>0</v>
      </c>
      <c r="D382" s="367">
        <f>SUMIFS(Data!$AP:$AP,Data!$AN:$AN,MarketProfile!A382,Data!$AS:$AS,"0")</f>
        <v>0</v>
      </c>
      <c r="E382" s="367"/>
      <c r="F382" s="171" t="str">
        <f t="shared" si="24"/>
        <v/>
      </c>
      <c r="G382" s="367">
        <f>SUMIFS(Data!$BD:$BD,Data!$BB:$BB,MarketProfile!A382,Data!BG:BG,"0")</f>
        <v>0</v>
      </c>
      <c r="H382" s="367"/>
      <c r="I382" s="171" t="str">
        <f t="shared" si="25"/>
        <v/>
      </c>
    </row>
    <row r="383" spans="1:9" x14ac:dyDescent="0.25">
      <c r="A383" s="235" t="s">
        <v>168</v>
      </c>
      <c r="B383" s="236"/>
      <c r="C383" s="4">
        <f>SUM(C375:C382)</f>
        <v>14034</v>
      </c>
      <c r="D383" s="368">
        <f>SUM(D375:E382)</f>
        <v>15915</v>
      </c>
      <c r="E383" s="368">
        <v>34213</v>
      </c>
      <c r="F383" s="160">
        <f t="shared" si="24"/>
        <v>-0.11819038642789821</v>
      </c>
      <c r="G383" s="368">
        <f>SUM(G375:H382)</f>
        <v>42121</v>
      </c>
      <c r="H383" s="368">
        <f>SUM(H375:H382)</f>
        <v>0</v>
      </c>
      <c r="I383" s="160">
        <f t="shared" si="25"/>
        <v>-0.66681702713610791</v>
      </c>
    </row>
    <row r="384" spans="1:9" x14ac:dyDescent="0.25">
      <c r="A384" s="132" t="s">
        <v>175</v>
      </c>
      <c r="B384" s="132"/>
      <c r="C384" s="162"/>
      <c r="D384" s="132"/>
      <c r="E384" s="132"/>
      <c r="F384" s="132" t="s">
        <v>171</v>
      </c>
      <c r="G384" s="132"/>
      <c r="H384" s="132"/>
      <c r="I384" s="163" t="s">
        <v>171</v>
      </c>
    </row>
    <row r="385" spans="1:9" x14ac:dyDescent="0.25">
      <c r="A385" s="134" t="s">
        <v>14</v>
      </c>
      <c r="B385" s="236"/>
      <c r="C385" s="3"/>
      <c r="D385" s="236"/>
      <c r="E385" s="236"/>
      <c r="F385" s="135"/>
      <c r="G385" s="236"/>
      <c r="H385" s="236"/>
      <c r="I385" s="171"/>
    </row>
    <row r="386" spans="1:9" x14ac:dyDescent="0.25">
      <c r="A386" s="236" t="s">
        <v>431</v>
      </c>
      <c r="B386" s="236"/>
      <c r="C386" s="3">
        <f>SUMIFS(Data!$AA:$AA,Data!$Z:$Z,MarketProfile!A386,Data!$AE:$AE,"1")/1000</f>
        <v>8885717.5558700003</v>
      </c>
      <c r="D386" s="367">
        <f>SUMIFS(Data!$AO:$AO,Data!$AN:$AN,MarketProfile!A386,Data!$AS:$AS,"1")/1000</f>
        <v>7209594.4016999993</v>
      </c>
      <c r="E386" s="367"/>
      <c r="F386" s="171">
        <f t="shared" ref="F386:F394" si="26">IFERROR(IF(OR(AND(D386="",C386=""),AND(D386=0,C386=0)),"",
IF(OR(D386="",D386=0),1,
IF(OR(D386&lt;&gt;"",D386&lt;&gt;0),(C386-D386)/ABS(D386)))),-1)</f>
        <v>0.23248508317954425</v>
      </c>
      <c r="G386" s="367">
        <f>SUMIFS(Data!$BC:$BC,Data!$BB:$BB,MarketProfile!A386,Data!BG:BG,"1")/1000</f>
        <v>14653986.076950001</v>
      </c>
      <c r="H386" s="367"/>
      <c r="I386" s="171">
        <f t="shared" ref="I386:I394" si="27">IFERROR(IF(OR(AND(G386="",C386=""),AND(G386=0,C386=0)),"",
IF(OR(G386="",G386=0),1,
IF(OR(G386&lt;&gt;"",G386&lt;&gt;0),(C386-G386)/ABS(G386)))),-1)</f>
        <v>-0.39363136356142736</v>
      </c>
    </row>
    <row r="387" spans="1:9" x14ac:dyDescent="0.25">
      <c r="A387" s="236" t="s">
        <v>164</v>
      </c>
      <c r="B387" s="236"/>
      <c r="C387" s="3">
        <f>SUMIFS(Data!$AA:$AA,Data!$Z:$Z,MarketProfile!A387,Data!$AE:$AE,"1")/1000</f>
        <v>35758612.937014997</v>
      </c>
      <c r="D387" s="367">
        <f>SUMIFS(Data!$AO:$AO,Data!$AN:$AN,MarketProfile!A387,Data!$AS:$AS,"1")/1000</f>
        <v>20057106.60825</v>
      </c>
      <c r="E387" s="367"/>
      <c r="F387" s="171">
        <f t="shared" si="26"/>
        <v>0.7828400494369695</v>
      </c>
      <c r="G387" s="367">
        <f>SUMIFS(Data!$BC:$BC,Data!$BB:$BB,MarketProfile!A387,Data!BG:BG,"1")/1000</f>
        <v>19094732.691689998</v>
      </c>
      <c r="H387" s="367"/>
      <c r="I387" s="171">
        <f t="shared" si="27"/>
        <v>0.87269513087120076</v>
      </c>
    </row>
    <row r="388" spans="1:9" x14ac:dyDescent="0.25">
      <c r="A388" s="236" t="s">
        <v>432</v>
      </c>
      <c r="B388" s="236"/>
      <c r="C388" s="3">
        <f>SUMIFS(Data!$AA:$AA,Data!$Z:$Z,MarketProfile!A388,Data!$AE:$AE,"1")/1000</f>
        <v>26853679.68259</v>
      </c>
      <c r="D388" s="367">
        <f>SUMIFS(Data!$AO:$AO,Data!$AN:$AN,MarketProfile!A388,Data!$AS:$AS,"1")/1000</f>
        <v>20748479.520750001</v>
      </c>
      <c r="E388" s="367"/>
      <c r="F388" s="171">
        <f t="shared" si="26"/>
        <v>0.29424807517747753</v>
      </c>
      <c r="G388" s="367">
        <f>SUMIFS(Data!$BC:$BC,Data!$BB:$BB,MarketProfile!A388,Data!BG:BG,"1")/1000</f>
        <v>30961313.907570001</v>
      </c>
      <c r="H388" s="367"/>
      <c r="I388" s="171">
        <f t="shared" si="27"/>
        <v>-0.13266989370162643</v>
      </c>
    </row>
    <row r="389" spans="1:9" x14ac:dyDescent="0.25">
      <c r="A389" s="236" t="s">
        <v>129</v>
      </c>
      <c r="B389" s="236"/>
      <c r="C389" s="3">
        <f>SUMIFS(Data!$AA:$AA,Data!$Z:$Z,MarketProfile!A389,Data!$AE:$AE,"1")/1000</f>
        <v>43919.18</v>
      </c>
      <c r="D389" s="367">
        <f>SUMIFS(Data!$AO:$AO,Data!$AN:$AN,MarketProfile!A389,Data!$AS:$AS,"1")/1000</f>
        <v>12970.16</v>
      </c>
      <c r="E389" s="367"/>
      <c r="F389" s="171">
        <f t="shared" si="26"/>
        <v>2.3861710264175615</v>
      </c>
      <c r="G389" s="367">
        <f>SUMIFS(Data!$BC:$BC,Data!$BB:$BB,MarketProfile!A389,Data!BG:BG,"1")/1000</f>
        <v>36071.920303999999</v>
      </c>
      <c r="H389" s="367"/>
      <c r="I389" s="171">
        <f t="shared" si="27"/>
        <v>0.21754482794002575</v>
      </c>
    </row>
    <row r="390" spans="1:9" x14ac:dyDescent="0.25">
      <c r="A390" s="236" t="s">
        <v>433</v>
      </c>
      <c r="B390" s="236"/>
      <c r="C390" s="3">
        <f>SUMIFS(Data!$AA:$AA,Data!$Z:$Z,MarketProfile!A390,Data!$AE:$AE,"1")/1000</f>
        <v>10550396.27998</v>
      </c>
      <c r="D390" s="367">
        <f>SUMIFS(Data!$AO:$AO,Data!$AN:$AN,MarketProfile!A390,Data!$AS:$AS,"1")/1000</f>
        <v>8496939.9962250013</v>
      </c>
      <c r="E390" s="367"/>
      <c r="F390" s="171">
        <f t="shared" si="26"/>
        <v>0.24167009354747745</v>
      </c>
      <c r="G390" s="367">
        <f>SUMIFS(Data!$BC:$BC,Data!$BB:$BB,MarketProfile!A390,Data!BG:BG,"1")/1000</f>
        <v>9558675.1937849894</v>
      </c>
      <c r="H390" s="367"/>
      <c r="I390" s="171">
        <f t="shared" si="27"/>
        <v>0.10375089288940623</v>
      </c>
    </row>
    <row r="391" spans="1:9" x14ac:dyDescent="0.25">
      <c r="A391" s="236" t="s">
        <v>434</v>
      </c>
      <c r="B391" s="236"/>
      <c r="C391" s="3">
        <f>SUMIFS(Data!$AA:$AA,Data!$Z:$Z,MarketProfile!A391,Data!$AE:$AE,"1")/1000</f>
        <v>25844604.402400002</v>
      </c>
      <c r="D391" s="367">
        <f>SUMIFS(Data!$AO:$AO,Data!$AN:$AN,MarketProfile!A391,Data!$AS:$AS,"1")/1000</f>
        <v>19622799.119259998</v>
      </c>
      <c r="E391" s="367"/>
      <c r="F391" s="171">
        <f t="shared" si="26"/>
        <v>0.31707022251648248</v>
      </c>
      <c r="G391" s="367">
        <f>SUMIFS(Data!$BC:$BC,Data!$BB:$BB,MarketProfile!A391,Data!BG:BG,"1")/1000</f>
        <v>26026577.75737999</v>
      </c>
      <c r="H391" s="367"/>
      <c r="I391" s="171">
        <f t="shared" si="27"/>
        <v>-6.9918279950727889E-3</v>
      </c>
    </row>
    <row r="392" spans="1:9" x14ac:dyDescent="0.25">
      <c r="A392" s="236" t="s">
        <v>435</v>
      </c>
      <c r="B392" s="236"/>
      <c r="C392" s="3">
        <f>SUMIFS(Data!$AA:$AA,Data!$Z:$Z,MarketProfile!A392,Data!$AE:$AE,"1")/1000</f>
        <v>1529.64</v>
      </c>
      <c r="D392" s="367">
        <f>SUMIFS(Data!$AO:$AO,Data!$AN:$AN,MarketProfile!A392,Data!$AS:$AS,"1")/1000</f>
        <v>2645.65</v>
      </c>
      <c r="E392" s="367"/>
      <c r="F392" s="171">
        <f t="shared" si="26"/>
        <v>-0.42182828416457202</v>
      </c>
      <c r="G392" s="367">
        <f>SUMIFS(Data!$BC:$BC,Data!$BB:$BB,MarketProfile!A392,Data!BG:BG,"1")/1000</f>
        <v>12603.954609999999</v>
      </c>
      <c r="H392" s="367"/>
      <c r="I392" s="171">
        <f t="shared" si="27"/>
        <v>-0.87863809039851826</v>
      </c>
    </row>
    <row r="393" spans="1:9" x14ac:dyDescent="0.25">
      <c r="A393" s="236" t="s">
        <v>130</v>
      </c>
      <c r="B393" s="236"/>
      <c r="C393" s="3">
        <f>SUMIFS(Data!$AA:$AA,Data!$Z:$Z,MarketProfile!A393,Data!$AE:$AE,"1")/1000</f>
        <v>4440.34</v>
      </c>
      <c r="D393" s="367">
        <f>SUMIFS(Data!$AO:$AO,Data!$AN:$AN,MarketProfile!A393,Data!$AS:$AS,"1")/1000</f>
        <v>1370.96</v>
      </c>
      <c r="E393" s="367"/>
      <c r="F393" s="171">
        <f t="shared" si="26"/>
        <v>2.2388545252961429</v>
      </c>
      <c r="G393" s="367">
        <f>SUMIFS(Data!$BC:$BC,Data!$BB:$BB,MarketProfile!A393,Data!BG:BG,"1")/1000</f>
        <v>5465.1779999999999</v>
      </c>
      <c r="H393" s="367"/>
      <c r="I393" s="171">
        <f t="shared" si="27"/>
        <v>-0.18752143114094358</v>
      </c>
    </row>
    <row r="394" spans="1:9" x14ac:dyDescent="0.25">
      <c r="A394" s="235" t="s">
        <v>167</v>
      </c>
      <c r="B394" s="236"/>
      <c r="C394" s="4">
        <f>SUM(C386:C393)</f>
        <v>107942900.01785502</v>
      </c>
      <c r="D394" s="368">
        <f>SUM(D386:E393)</f>
        <v>76151906.416184992</v>
      </c>
      <c r="E394" s="368">
        <f>SUM(E386:E393)</f>
        <v>0</v>
      </c>
      <c r="F394" s="160">
        <f t="shared" si="26"/>
        <v>0.41746812519605297</v>
      </c>
      <c r="G394" s="368">
        <f>SUM(G386:H393)</f>
        <v>100349426.680289</v>
      </c>
      <c r="H394" s="368">
        <f>SUM(H386:H393)</f>
        <v>0</v>
      </c>
      <c r="I394" s="160">
        <f t="shared" si="27"/>
        <v>7.5670321084729777E-2</v>
      </c>
    </row>
    <row r="395" spans="1:9" x14ac:dyDescent="0.25">
      <c r="A395" s="134" t="s">
        <v>15</v>
      </c>
      <c r="B395" s="236"/>
      <c r="C395" s="3"/>
      <c r="D395" s="236"/>
      <c r="E395" s="136"/>
      <c r="F395" s="171" t="s">
        <v>171</v>
      </c>
      <c r="G395" s="236"/>
      <c r="H395" s="136"/>
      <c r="I395" s="171"/>
    </row>
    <row r="396" spans="1:9" x14ac:dyDescent="0.25">
      <c r="A396" s="236" t="s">
        <v>431</v>
      </c>
      <c r="B396" s="236"/>
      <c r="C396" s="3">
        <f>SUMIFS(Data!$AA:$AA,Data!$Z:$Z,MarketProfile!A396,Data!$AE:$AE,"0")/1000</f>
        <v>272.3</v>
      </c>
      <c r="D396" s="367">
        <f>SUMIFS(Data!$AO:$AO,Data!$AN:$AN,MarketProfile!A396,Data!$AS:$AS,"0")/1000</f>
        <v>528.28</v>
      </c>
      <c r="E396" s="367"/>
      <c r="F396" s="171">
        <f t="shared" ref="F396:F404" si="28">IFERROR(IF(OR(AND(D396="",C396=""),AND(D396=0,C396=0)),"",
IF(OR(D396="",D396=0),1,
IF(OR(D396&lt;&gt;"",D396&lt;&gt;0),(C396-D396)/ABS(D396)))),-1)</f>
        <v>-0.48455364579389715</v>
      </c>
      <c r="G396" s="367">
        <f>SUMIFS(Data!$BC:$BC,Data!$BB:$BB,MarketProfile!A396,Data!BG:BG,"0")/1000</f>
        <v>10520.293240000001</v>
      </c>
      <c r="H396" s="367"/>
      <c r="I396" s="171">
        <f t="shared" ref="I396:I404" si="29">IFERROR(IF(OR(AND(G396="",C396=""),AND(G396=0,C396=0)),"",
IF(OR(G396="",G396=0),1,
IF(OR(G396&lt;&gt;"",G396&lt;&gt;0),(C396-G396)/ABS(G396)))),-1)</f>
        <v>-0.97411669106668364</v>
      </c>
    </row>
    <row r="397" spans="1:9" x14ac:dyDescent="0.25">
      <c r="A397" s="236" t="s">
        <v>164</v>
      </c>
      <c r="B397" s="236"/>
      <c r="C397" s="3">
        <f>SUMIFS(Data!$AA:$AA,Data!$Z:$Z,MarketProfile!A397,Data!$AE:$AE,"0")/1000</f>
        <v>11210.824480000001</v>
      </c>
      <c r="D397" s="367">
        <f>SUMIFS(Data!$AO:$AO,Data!$AN:$AN,MarketProfile!A397,Data!$AS:$AS,"0")/1000</f>
        <v>8087.6161900000006</v>
      </c>
      <c r="E397" s="367"/>
      <c r="F397" s="171">
        <f t="shared" si="28"/>
        <v>0.386171674894973</v>
      </c>
      <c r="G397" s="367">
        <f>SUMIFS(Data!$BC:$BC,Data!$BB:$BB,MarketProfile!A397,Data!BG:BG,"0")/1000</f>
        <v>35287.569000000003</v>
      </c>
      <c r="H397" s="367"/>
      <c r="I397" s="171">
        <f t="shared" si="29"/>
        <v>-0.68230102561046346</v>
      </c>
    </row>
    <row r="398" spans="1:9" x14ac:dyDescent="0.25">
      <c r="A398" s="236" t="s">
        <v>432</v>
      </c>
      <c r="B398" s="236"/>
      <c r="C398" s="3">
        <f>SUMIFS(Data!$AA:$AA,Data!$Z:$Z,MarketProfile!A398,Data!$AE:$AE,"0")/1000</f>
        <v>283554.67327999999</v>
      </c>
      <c r="D398" s="367">
        <f>SUMIFS(Data!$AO:$AO,Data!$AN:$AN,MarketProfile!A398,Data!$AS:$AS,"0")/1000</f>
        <v>67904.446559999997</v>
      </c>
      <c r="E398" s="367"/>
      <c r="F398" s="171">
        <f t="shared" si="28"/>
        <v>3.1757894754278371</v>
      </c>
      <c r="G398" s="367">
        <f>SUMIFS(Data!$BC:$BC,Data!$BB:$BB,MarketProfile!A398,Data!BG:BG,"0")/1000</f>
        <v>587901.55807999999</v>
      </c>
      <c r="H398" s="367"/>
      <c r="I398" s="171">
        <f t="shared" si="29"/>
        <v>-0.51768341249843286</v>
      </c>
    </row>
    <row r="399" spans="1:9" x14ac:dyDescent="0.25">
      <c r="A399" s="236" t="s">
        <v>129</v>
      </c>
      <c r="B399" s="236"/>
      <c r="C399" s="3">
        <f>SUMIFS(Data!$AA:$AA,Data!$Z:$Z,MarketProfile!A399,Data!$AE:$AE,"0")/1000</f>
        <v>0</v>
      </c>
      <c r="D399" s="367">
        <f>SUMIFS(Data!$AO:$AO,Data!$AN:$AN,MarketProfile!A399,Data!$AS:$AS,"0")/1000</f>
        <v>0</v>
      </c>
      <c r="E399" s="367"/>
      <c r="F399" s="171" t="str">
        <f t="shared" si="28"/>
        <v/>
      </c>
      <c r="G399" s="367">
        <f>SUMIFS(Data!$BC:$BC,Data!$BB:$BB,MarketProfile!A399,Data!BG:BG,"0")/1000</f>
        <v>0</v>
      </c>
      <c r="H399" s="367"/>
      <c r="I399" s="171" t="str">
        <f t="shared" si="29"/>
        <v/>
      </c>
    </row>
    <row r="400" spans="1:9" x14ac:dyDescent="0.25">
      <c r="A400" s="236" t="s">
        <v>433</v>
      </c>
      <c r="B400" s="236"/>
      <c r="C400" s="3">
        <f>SUMIFS(Data!$AA:$AA,Data!$Z:$Z,MarketProfile!A400,Data!$AE:$AE,"0")/1000</f>
        <v>6627.8</v>
      </c>
      <c r="D400" s="367">
        <f>SUMIFS(Data!$AO:$AO,Data!$AN:$AN,MarketProfile!A400,Data!$AS:$AS,"0")/1000</f>
        <v>2842.1120000000001</v>
      </c>
      <c r="E400" s="367"/>
      <c r="F400" s="171">
        <f t="shared" si="28"/>
        <v>1.3319981760043236</v>
      </c>
      <c r="G400" s="367">
        <f>SUMIFS(Data!$BC:$BC,Data!$BB:$BB,MarketProfile!A400,Data!BG:BG,"0")/1000</f>
        <v>2274.3249999999998</v>
      </c>
      <c r="H400" s="367"/>
      <c r="I400" s="171">
        <f t="shared" si="29"/>
        <v>1.9141833291196293</v>
      </c>
    </row>
    <row r="401" spans="1:9" x14ac:dyDescent="0.25">
      <c r="A401" s="236" t="s">
        <v>434</v>
      </c>
      <c r="B401" s="236"/>
      <c r="C401" s="3">
        <f>SUMIFS(Data!$AA:$AA,Data!$Z:$Z,MarketProfile!A401,Data!$AE:$AE,"0")/1000</f>
        <v>119416.1692</v>
      </c>
      <c r="D401" s="367">
        <f>SUMIFS(Data!$AO:$AO,Data!$AN:$AN,MarketProfile!A401,Data!$AS:$AS,"0")/1000</f>
        <v>152518.15956999999</v>
      </c>
      <c r="E401" s="367"/>
      <c r="F401" s="171">
        <f>IFERROR(IF(OR(AND(D401="",C401=""),AND(D401=0,C401=0)),"",
IF(OR(D401="",D401=0),1,
IF(OR(D401&lt;&gt;"",D401&lt;&gt;0),(C401-D401)/ABS(D401)))),-1)</f>
        <v>-0.21703638742642603</v>
      </c>
      <c r="G401" s="367">
        <f>SUMIFS(Data!$BC:$BC,Data!$BB:$BB,MarketProfile!A401,Data!BG:BG,"0")/1000</f>
        <v>694263.6081699999</v>
      </c>
      <c r="H401" s="367"/>
      <c r="I401" s="171">
        <f t="shared" si="29"/>
        <v>-0.82799592576259684</v>
      </c>
    </row>
    <row r="402" spans="1:9" x14ac:dyDescent="0.25">
      <c r="A402" s="236" t="s">
        <v>435</v>
      </c>
      <c r="B402" s="236"/>
      <c r="C402" s="3">
        <f>SUMIFS(Data!$AA:$AA,Data!$Z:$Z,MarketProfile!A402,Data!$AE:$AE,"0")/1000</f>
        <v>0</v>
      </c>
      <c r="D402" s="367">
        <f>SUMIFS(Data!$AO:$AO,Data!$AN:$AN,MarketProfile!A402,Data!$AS:$AS,"0")/1000</f>
        <v>0</v>
      </c>
      <c r="E402" s="367"/>
      <c r="F402" s="171" t="str">
        <f t="shared" si="28"/>
        <v/>
      </c>
      <c r="G402" s="367">
        <f>SUMIFS(Data!$BC:$BC,Data!$BB:$BB,MarketProfile!A402,Data!BG:BG,"0")/1000</f>
        <v>0</v>
      </c>
      <c r="H402" s="367"/>
      <c r="I402" s="171" t="str">
        <f t="shared" si="29"/>
        <v/>
      </c>
    </row>
    <row r="403" spans="1:9" x14ac:dyDescent="0.25">
      <c r="A403" s="236" t="s">
        <v>130</v>
      </c>
      <c r="B403" s="236"/>
      <c r="C403" s="3">
        <f>SUMIFS(Data!$AA:$AA,Data!$Z:$Z,MarketProfile!A403,Data!$AE:$AE,"0")/1000</f>
        <v>0</v>
      </c>
      <c r="D403" s="367">
        <f>SUMIFS(Data!$AO:$AO,Data!$AN:$AN,MarketProfile!A403,Data!$AS:$AS,"0")/1000</f>
        <v>0</v>
      </c>
      <c r="E403" s="367"/>
      <c r="F403" s="171" t="str">
        <f t="shared" si="28"/>
        <v/>
      </c>
      <c r="G403" s="367">
        <f>SUMIFS(Data!$BC:$BC,Data!$BB:$BB,MarketProfile!A403,Data!BG:BG,"0")/1000</f>
        <v>0</v>
      </c>
      <c r="H403" s="367"/>
      <c r="I403" s="171" t="str">
        <f t="shared" si="29"/>
        <v/>
      </c>
    </row>
    <row r="404" spans="1:9" x14ac:dyDescent="0.25">
      <c r="A404" s="235" t="s">
        <v>168</v>
      </c>
      <c r="B404" s="236"/>
      <c r="C404" s="4">
        <f>SUM(C396:C403)</f>
        <v>421081.76695999998</v>
      </c>
      <c r="D404" s="368">
        <f>SUM(D396:E403)</f>
        <v>231880.61431999999</v>
      </c>
      <c r="E404" s="368">
        <f>SUM(E396:E403)</f>
        <v>0</v>
      </c>
      <c r="F404" s="160">
        <f t="shared" si="28"/>
        <v>0.81594208810788527</v>
      </c>
      <c r="G404" s="368">
        <f>SUM(G396:H403)</f>
        <v>1330247.3534899999</v>
      </c>
      <c r="H404" s="368">
        <f>SUM(H396:H403)</f>
        <v>0</v>
      </c>
      <c r="I404" s="160">
        <f t="shared" si="29"/>
        <v>-0.68345603856661585</v>
      </c>
    </row>
    <row r="405" spans="1:9" x14ac:dyDescent="0.25">
      <c r="A405" s="132" t="s">
        <v>127</v>
      </c>
      <c r="B405" s="132"/>
      <c r="C405" s="162"/>
      <c r="D405" s="132"/>
      <c r="E405" s="132"/>
      <c r="F405" s="132" t="s">
        <v>171</v>
      </c>
      <c r="G405" s="132"/>
      <c r="H405" s="132"/>
      <c r="I405" s="161" t="s">
        <v>171</v>
      </c>
    </row>
    <row r="406" spans="1:9" x14ac:dyDescent="0.25">
      <c r="A406" s="134" t="s">
        <v>14</v>
      </c>
      <c r="B406" s="236"/>
      <c r="C406" s="3"/>
      <c r="D406" s="236"/>
      <c r="E406" s="236"/>
      <c r="F406" s="236"/>
      <c r="G406" s="236"/>
      <c r="H406" s="236"/>
      <c r="I406" s="171"/>
    </row>
    <row r="407" spans="1:9" x14ac:dyDescent="0.25">
      <c r="A407" s="236" t="s">
        <v>431</v>
      </c>
      <c r="B407" s="236"/>
      <c r="C407" s="3">
        <f>SUMIFS(Data!$AK:$AK,Data!$AG:$AG,MarketProfile!A407,Data!$AL:$AL,"1")</f>
        <v>11187</v>
      </c>
      <c r="D407" s="367">
        <f>SUMIFS(Data!$AY:$AY,Data!$AU:$AU,MarketProfile!A407,Data!$AZ:$AZ,"1")</f>
        <v>12362</v>
      </c>
      <c r="E407" s="367"/>
      <c r="F407" s="171">
        <f t="shared" ref="F407:F422" si="30">IFERROR(IF(OR(AND(D407="",C407=""),AND(D407=0,C407=0)),"",
IF(OR(D407="",D407=0),1,
IF(OR(D407&lt;&gt;"",D407&lt;&gt;0),(C407-D407)/ABS(D407)))),-1)</f>
        <v>-9.5049344766219054E-2</v>
      </c>
      <c r="G407" s="367">
        <f>SUMIFS(Data!$BL:$BL,Data!$BH:$BH,MarketProfile!A407,Data!$BM:$BM,"1")</f>
        <v>21981</v>
      </c>
      <c r="H407" s="367"/>
      <c r="I407" s="171">
        <f t="shared" ref="I407:I414" si="31">IFERROR(IF(OR(AND(G407="",C407=""),AND(G407=0,C407=0)),"",
IF(OR(G407="",G407=0),1,
IF(OR(G407&lt;&gt;"",G407&lt;&gt;0),(C407-G407)/ABS(G407)))),-1)</f>
        <v>-0.49106046130749281</v>
      </c>
    </row>
    <row r="408" spans="1:9" x14ac:dyDescent="0.25">
      <c r="A408" s="236" t="s">
        <v>164</v>
      </c>
      <c r="B408" s="236"/>
      <c r="C408" s="3">
        <f>SUMIFS(Data!$AK:$AK,Data!$AG:$AG,MarketProfile!A408,Data!$AL:$AL,"1")</f>
        <v>21743</v>
      </c>
      <c r="D408" s="367">
        <f>SUMIFS(Data!$AY:$AY,Data!$AU:$AU,MarketProfile!A408,Data!$AZ:$AZ,"1")</f>
        <v>10649</v>
      </c>
      <c r="E408" s="367"/>
      <c r="F408" s="171">
        <f t="shared" si="30"/>
        <v>1.0417879613109211</v>
      </c>
      <c r="G408" s="367">
        <f>SUMIFS(Data!$BL:$BL,Data!$BH:$BH,MarketProfile!A408,Data!$BM:$BM,"1")</f>
        <v>20259</v>
      </c>
      <c r="H408" s="367"/>
      <c r="I408" s="171">
        <f t="shared" si="31"/>
        <v>7.3251394441976411E-2</v>
      </c>
    </row>
    <row r="409" spans="1:9" x14ac:dyDescent="0.25">
      <c r="A409" s="236" t="s">
        <v>432</v>
      </c>
      <c r="B409" s="236"/>
      <c r="C409" s="3">
        <f>SUMIFS(Data!$AK:$AK,Data!$AG:$AG,MarketProfile!A409,Data!$AL:$AL,"1")</f>
        <v>25814</v>
      </c>
      <c r="D409" s="367">
        <f>SUMIFS(Data!$AY:$AY,Data!$AU:$AU,MarketProfile!A409,Data!$AZ:$AZ,"1")</f>
        <v>26471</v>
      </c>
      <c r="E409" s="367"/>
      <c r="F409" s="171">
        <f t="shared" si="30"/>
        <v>-2.4819613917116845E-2</v>
      </c>
      <c r="G409" s="367">
        <f>SUMIFS(Data!$BL:$BL,Data!$BH:$BH,MarketProfile!A409,Data!$BM:$BM,"1")</f>
        <v>34760</v>
      </c>
      <c r="H409" s="367"/>
      <c r="I409" s="171">
        <f t="shared" si="31"/>
        <v>-0.25736478711162253</v>
      </c>
    </row>
    <row r="410" spans="1:9" x14ac:dyDescent="0.25">
      <c r="A410" s="236" t="s">
        <v>129</v>
      </c>
      <c r="B410" s="236"/>
      <c r="C410" s="3">
        <f>SUMIFS(Data!$AK:$AK,Data!$AG:$AG,MarketProfile!A410,Data!$AL:$AL,"1")</f>
        <v>221</v>
      </c>
      <c r="D410" s="367">
        <f>SUMIFS(Data!$AY:$AY,Data!$AU:$AU,MarketProfile!A410,Data!$AZ:$AZ,"1")</f>
        <v>173</v>
      </c>
      <c r="E410" s="367"/>
      <c r="F410" s="171">
        <f t="shared" si="30"/>
        <v>0.2774566473988439</v>
      </c>
      <c r="G410" s="367">
        <f>SUMIFS(Data!$BL:$BL,Data!$BH:$BH,MarketProfile!A410,Data!$BM:$BM,"1")</f>
        <v>265</v>
      </c>
      <c r="H410" s="367"/>
      <c r="I410" s="171">
        <f t="shared" si="31"/>
        <v>-0.16603773584905659</v>
      </c>
    </row>
    <row r="411" spans="1:9" x14ac:dyDescent="0.25">
      <c r="A411" s="236" t="s">
        <v>433</v>
      </c>
      <c r="B411" s="236"/>
      <c r="C411" s="3">
        <f>SUMIFS(Data!$AK:$AK,Data!$AG:$AG,MarketProfile!A411,Data!$AL:$AL,"1")</f>
        <v>6540</v>
      </c>
      <c r="D411" s="367">
        <f>SUMIFS(Data!$AY:$AY,Data!$AU:$AU,MarketProfile!A411,Data!$AZ:$AZ,"1")</f>
        <v>4914</v>
      </c>
      <c r="E411" s="367"/>
      <c r="F411" s="171">
        <f t="shared" si="30"/>
        <v>0.33089133089133088</v>
      </c>
      <c r="G411" s="367">
        <f>SUMIFS(Data!$BL:$BL,Data!$BH:$BH,MarketProfile!A411,Data!$BM:$BM,"1")</f>
        <v>6003</v>
      </c>
      <c r="H411" s="367"/>
      <c r="I411" s="171">
        <f t="shared" si="31"/>
        <v>8.9455272363818089E-2</v>
      </c>
    </row>
    <row r="412" spans="1:9" x14ac:dyDescent="0.25">
      <c r="A412" s="236" t="s">
        <v>434</v>
      </c>
      <c r="B412" s="236"/>
      <c r="C412" s="3">
        <f>SUMIFS(Data!$AK:$AK,Data!$AG:$AG,MarketProfile!A412,Data!$AL:$AL,"1")</f>
        <v>24252</v>
      </c>
      <c r="D412" s="367">
        <f>SUMIFS(Data!$AY:$AY,Data!$AU:$AU,MarketProfile!A412,Data!$AZ:$AZ,"1")</f>
        <v>24568</v>
      </c>
      <c r="E412" s="367"/>
      <c r="F412" s="171">
        <f t="shared" si="30"/>
        <v>-1.2862259850211657E-2</v>
      </c>
      <c r="G412" s="367">
        <f>SUMIFS(Data!$BL:$BL,Data!$BH:$BH,MarketProfile!A412,Data!$BM:$BM,"1")</f>
        <v>29304</v>
      </c>
      <c r="H412" s="367"/>
      <c r="I412" s="171">
        <f t="shared" si="31"/>
        <v>-0.17239967239967241</v>
      </c>
    </row>
    <row r="413" spans="1:9" x14ac:dyDescent="0.25">
      <c r="A413" s="236" t="s">
        <v>435</v>
      </c>
      <c r="B413" s="236"/>
      <c r="C413" s="3">
        <f>SUMIFS(Data!$AK:$AK,Data!$AG:$AG,MarketProfile!A413,Data!$AL:$AL,"1")</f>
        <v>73</v>
      </c>
      <c r="D413" s="367">
        <f>SUMIFS(Data!$AY:$AY,Data!$AU:$AU,MarketProfile!A413,Data!$AZ:$AZ,"1")</f>
        <v>73</v>
      </c>
      <c r="E413" s="367"/>
      <c r="F413" s="171">
        <f t="shared" si="30"/>
        <v>0</v>
      </c>
      <c r="G413" s="367">
        <f>SUMIFS(Data!$BL:$BL,Data!$BH:$BH,MarketProfile!A413,Data!$BM:$BM,"1")</f>
        <v>120</v>
      </c>
      <c r="H413" s="367"/>
      <c r="I413" s="171">
        <f t="shared" si="31"/>
        <v>-0.39166666666666666</v>
      </c>
    </row>
    <row r="414" spans="1:9" x14ac:dyDescent="0.25">
      <c r="A414" s="236" t="s">
        <v>130</v>
      </c>
      <c r="B414" s="236"/>
      <c r="C414" s="3">
        <f>SUMIFS(Data!$AK:$AK,Data!$AG:$AG,MarketProfile!A414,Data!$AL:$AL,"1")</f>
        <v>30</v>
      </c>
      <c r="D414" s="367">
        <f>SUMIFS(Data!$AY:$AY,Data!$AU:$AU,MarketProfile!A414,Data!$AZ:$AZ,"1")</f>
        <v>16</v>
      </c>
      <c r="E414" s="367"/>
      <c r="F414" s="171">
        <f t="shared" si="30"/>
        <v>0.875</v>
      </c>
      <c r="G414" s="367">
        <f>SUMIFS(Data!$BL:$BL,Data!$BH:$BH,MarketProfile!A414,Data!$BM:$BM,"1")</f>
        <v>20</v>
      </c>
      <c r="H414" s="367"/>
      <c r="I414" s="171">
        <f t="shared" si="31"/>
        <v>0.5</v>
      </c>
    </row>
    <row r="415" spans="1:9" x14ac:dyDescent="0.25">
      <c r="A415" s="134" t="s">
        <v>15</v>
      </c>
      <c r="B415" s="236"/>
      <c r="C415" s="3"/>
      <c r="D415" s="236"/>
      <c r="E415" s="3"/>
      <c r="F415" s="171"/>
      <c r="G415" s="236"/>
      <c r="H415" s="3"/>
      <c r="I415" s="171"/>
    </row>
    <row r="416" spans="1:9" x14ac:dyDescent="0.25">
      <c r="A416" s="236" t="s">
        <v>431</v>
      </c>
      <c r="B416" s="236"/>
      <c r="C416" s="3">
        <f>SUMIFS(Data!$AK:$AK,Data!$AG:$AG,MarketProfile!A416,Data!$AL:$AL,"0")</f>
        <v>100</v>
      </c>
      <c r="D416" s="367">
        <f>SUMIFS(Data!$AY:$AY,Data!$AU:$AU,MarketProfile!A416,Data!$AZ:$AZ,"0")</f>
        <v>90</v>
      </c>
      <c r="E416" s="367"/>
      <c r="F416" s="171">
        <f t="shared" si="30"/>
        <v>0.1111111111111111</v>
      </c>
      <c r="G416" s="367">
        <f>SUMIFS(Data!$BL:$BL,Data!$BH:$BH,MarketProfile!A416,Data!$BM:$BM,"0")</f>
        <v>1339</v>
      </c>
      <c r="H416" s="367"/>
      <c r="I416" s="171">
        <f t="shared" ref="I416:I423" si="32">IFERROR(IF(OR(AND(G416="",C416=""),AND(G416=0,C416=0)),"",
IF(OR(G416="",G416=0),1,
IF(OR(G416&lt;&gt;"",G416&lt;&gt;0),(C416-G416)/ABS(G416)))),-1)</f>
        <v>-0.92531740104555638</v>
      </c>
    </row>
    <row r="417" spans="1:9" x14ac:dyDescent="0.25">
      <c r="A417" s="236" t="s">
        <v>164</v>
      </c>
      <c r="B417" s="236"/>
      <c r="C417" s="3">
        <f>SUMIFS(Data!$AK:$AK,Data!$AG:$AG,MarketProfile!A417,Data!$AL:$AL,"0")</f>
        <v>1255</v>
      </c>
      <c r="D417" s="367">
        <f>SUMIFS(Data!$AY:$AY,Data!$AU:$AU,MarketProfile!A417,Data!$AZ:$AZ,"0")</f>
        <v>1035</v>
      </c>
      <c r="E417" s="367"/>
      <c r="F417" s="171">
        <f t="shared" si="30"/>
        <v>0.21256038647342995</v>
      </c>
      <c r="G417" s="367">
        <f>SUMIFS(Data!$BL:$BL,Data!$BH:$BH,MarketProfile!A417,Data!$BM:$BM,"0")</f>
        <v>3827</v>
      </c>
      <c r="H417" s="367"/>
      <c r="I417" s="171">
        <f t="shared" si="32"/>
        <v>-0.67206689312777634</v>
      </c>
    </row>
    <row r="418" spans="1:9" x14ac:dyDescent="0.25">
      <c r="A418" s="236" t="s">
        <v>432</v>
      </c>
      <c r="B418" s="236"/>
      <c r="C418" s="3">
        <f>SUMIFS(Data!$AK:$AK,Data!$AG:$AG,MarketProfile!A418,Data!$AL:$AL,"0")</f>
        <v>15486</v>
      </c>
      <c r="D418" s="367">
        <f>SUMIFS(Data!$AY:$AY,Data!$AU:$AU,MarketProfile!A418,Data!$AZ:$AZ,"0")</f>
        <v>15435</v>
      </c>
      <c r="E418" s="367"/>
      <c r="F418" s="171">
        <f t="shared" si="30"/>
        <v>3.3041788143828958E-3</v>
      </c>
      <c r="G418" s="367">
        <f>SUMIFS(Data!$BL:$BL,Data!$BH:$BH,MarketProfile!A418,Data!$BM:$BM,"0")</f>
        <v>23819</v>
      </c>
      <c r="H418" s="367"/>
      <c r="I418" s="171">
        <f t="shared" si="32"/>
        <v>-0.34984676098912632</v>
      </c>
    </row>
    <row r="419" spans="1:9" x14ac:dyDescent="0.25">
      <c r="A419" s="236" t="s">
        <v>129</v>
      </c>
      <c r="B419" s="236"/>
      <c r="C419" s="3">
        <f>SUMIFS(Data!$AK:$AK,Data!$AG:$AG,MarketProfile!A419,Data!$AL:$AL,"0")</f>
        <v>0</v>
      </c>
      <c r="D419" s="367">
        <f>SUMIFS(Data!$AY:$AY,Data!$AU:$AU,MarketProfile!A419,Data!$AZ:$AZ,"0")</f>
        <v>0</v>
      </c>
      <c r="E419" s="367"/>
      <c r="F419" s="171" t="str">
        <f t="shared" si="30"/>
        <v/>
      </c>
      <c r="G419" s="367">
        <f>SUMIFS(Data!$BL:$BL,Data!$BH:$BH,MarketProfile!A419,Data!$BM:$BM,"0")</f>
        <v>0</v>
      </c>
      <c r="H419" s="367"/>
      <c r="I419" s="171" t="str">
        <f t="shared" si="32"/>
        <v/>
      </c>
    </row>
    <row r="420" spans="1:9" x14ac:dyDescent="0.25">
      <c r="A420" s="236" t="s">
        <v>433</v>
      </c>
      <c r="B420" s="236"/>
      <c r="C420" s="3">
        <f>SUMIFS(Data!$AK:$AK,Data!$AG:$AG,MarketProfile!A420,Data!$AL:$AL,"0")</f>
        <v>999</v>
      </c>
      <c r="D420" s="367">
        <f>SUMIFS(Data!$AY:$AY,Data!$AU:$AU,MarketProfile!A420,Data!$AZ:$AZ,"0")</f>
        <v>903</v>
      </c>
      <c r="E420" s="367"/>
      <c r="F420" s="171">
        <f t="shared" si="30"/>
        <v>0.10631229235880399</v>
      </c>
      <c r="G420" s="367">
        <f>SUMIFS(Data!$BL:$BL,Data!$BH:$BH,MarketProfile!A420,Data!$BM:$BM,"0")</f>
        <v>2313</v>
      </c>
      <c r="H420" s="367"/>
      <c r="I420" s="171">
        <f t="shared" si="32"/>
        <v>-0.56809338521400776</v>
      </c>
    </row>
    <row r="421" spans="1:9" x14ac:dyDescent="0.25">
      <c r="A421" s="236" t="s">
        <v>434</v>
      </c>
      <c r="B421" s="236"/>
      <c r="C421" s="3">
        <f>SUMIFS(Data!$AK:$AK,Data!$AG:$AG,MarketProfile!A421,Data!$AL:$AL,"0")</f>
        <v>23840</v>
      </c>
      <c r="D421" s="367">
        <f>SUMIFS(Data!$AY:$AY,Data!$AU:$AU,MarketProfile!A421,Data!$AZ:$AZ,"0")</f>
        <v>20886</v>
      </c>
      <c r="E421" s="367"/>
      <c r="F421" s="171">
        <f t="shared" si="30"/>
        <v>0.14143445370104377</v>
      </c>
      <c r="G421" s="367">
        <f>SUMIFS(Data!$BL:$BL,Data!$BH:$BH,MarketProfile!A421,Data!$BM:$BM,"0")</f>
        <v>26651</v>
      </c>
      <c r="H421" s="367"/>
      <c r="I421" s="171">
        <f t="shared" si="32"/>
        <v>-0.10547446624892125</v>
      </c>
    </row>
    <row r="422" spans="1:9" x14ac:dyDescent="0.25">
      <c r="A422" s="236" t="s">
        <v>435</v>
      </c>
      <c r="B422" s="236"/>
      <c r="C422" s="3">
        <f>SUMIFS(Data!$AK:$AK,Data!$AG:$AG,MarketProfile!A422,Data!$AL:$AL,"0")</f>
        <v>0</v>
      </c>
      <c r="D422" s="367">
        <f>SUMIFS(Data!$AY:$AY,Data!$AU:$AU,MarketProfile!A422,Data!$AZ:$AZ,"0")</f>
        <v>0</v>
      </c>
      <c r="E422" s="367"/>
      <c r="F422" s="171" t="str">
        <f t="shared" si="30"/>
        <v/>
      </c>
      <c r="G422" s="367">
        <f>SUMIFS(Data!$BL:$BL,Data!$BH:$BH,MarketProfile!A422,Data!$BM:$BM,"0")</f>
        <v>0</v>
      </c>
      <c r="H422" s="367"/>
      <c r="I422" s="171" t="str">
        <f t="shared" si="32"/>
        <v/>
      </c>
    </row>
    <row r="423" spans="1:9" x14ac:dyDescent="0.25">
      <c r="A423" s="236" t="s">
        <v>130</v>
      </c>
      <c r="B423" s="236"/>
      <c r="C423" s="3">
        <f>SUMIFS(Data!$AK:$AK,Data!$AG:$AG,MarketProfile!A423,Data!$AL:$AL,"0")</f>
        <v>0</v>
      </c>
      <c r="D423" s="367">
        <f>SUMIFS(Data!$AY:$AY,Data!$AU:$AU,MarketProfile!A423,Data!$AZ:$AZ,"0")</f>
        <v>0</v>
      </c>
      <c r="E423" s="367"/>
      <c r="F423" s="171" t="str">
        <f t="shared" ref="F423" si="33">IFERROR(IF(OR(AND(C423="",D423=""),AND(C423=0,D423=0)),"",
IF(OR(C423="",C423=0),1,
IF(OR(C423&lt;&gt;"",C423&lt;&gt;0),(D423-C423)/ABS(C423)))),-1)</f>
        <v/>
      </c>
      <c r="G423" s="367">
        <f>SUMIFS(Data!$BL:$BL,Data!$BH:$BH,MarketProfile!A423,Data!$BM:$BM,"0")</f>
        <v>0</v>
      </c>
      <c r="H423" s="367"/>
      <c r="I423" s="171" t="str">
        <f t="shared" si="32"/>
        <v/>
      </c>
    </row>
    <row r="424" spans="1:9" x14ac:dyDescent="0.25">
      <c r="A424" s="236"/>
      <c r="B424" s="236"/>
      <c r="C424" s="236"/>
      <c r="D424" s="236"/>
      <c r="E424" s="236"/>
      <c r="F424" s="236"/>
      <c r="G424" s="236"/>
      <c r="H424" s="236"/>
      <c r="I424" s="236"/>
    </row>
  </sheetData>
  <mergeCells count="162">
    <mergeCell ref="D344:E344"/>
    <mergeCell ref="G344:H344"/>
    <mergeCell ref="F96:H97"/>
    <mergeCell ref="G107:H107"/>
    <mergeCell ref="G8:I9"/>
    <mergeCell ref="A13:A15"/>
    <mergeCell ref="G109:H109"/>
    <mergeCell ref="G110:H110"/>
    <mergeCell ref="G111:H111"/>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 ref="D350:E350"/>
    <mergeCell ref="D351:E351"/>
    <mergeCell ref="D352:E352"/>
    <mergeCell ref="D354:E354"/>
    <mergeCell ref="D355:E355"/>
    <mergeCell ref="D345:E345"/>
    <mergeCell ref="D346:E346"/>
    <mergeCell ref="D347:E347"/>
    <mergeCell ref="D348:E348"/>
    <mergeCell ref="D349:E349"/>
    <mergeCell ref="D361:E361"/>
    <mergeCell ref="D362:E362"/>
    <mergeCell ref="D365:E365"/>
    <mergeCell ref="D366:E366"/>
    <mergeCell ref="D367:E367"/>
    <mergeCell ref="D356:E356"/>
    <mergeCell ref="D357:E357"/>
    <mergeCell ref="D358:E358"/>
    <mergeCell ref="D359:E359"/>
    <mergeCell ref="D360:E360"/>
    <mergeCell ref="D391:E391"/>
    <mergeCell ref="D375:E375"/>
    <mergeCell ref="D376:E376"/>
    <mergeCell ref="D377:E377"/>
    <mergeCell ref="D378:E378"/>
    <mergeCell ref="D368:E368"/>
    <mergeCell ref="D369:E369"/>
    <mergeCell ref="D370:E370"/>
    <mergeCell ref="D371:E371"/>
    <mergeCell ref="D372:E372"/>
    <mergeCell ref="D402:E402"/>
    <mergeCell ref="D403:E403"/>
    <mergeCell ref="D404:E404"/>
    <mergeCell ref="D407:E407"/>
    <mergeCell ref="D408:E408"/>
    <mergeCell ref="D397:E397"/>
    <mergeCell ref="D398:E398"/>
    <mergeCell ref="D399:E399"/>
    <mergeCell ref="D400:E400"/>
    <mergeCell ref="D401:E401"/>
    <mergeCell ref="D414:E414"/>
    <mergeCell ref="D416:E416"/>
    <mergeCell ref="D417:E417"/>
    <mergeCell ref="D418:E418"/>
    <mergeCell ref="D419:E419"/>
    <mergeCell ref="D409:E409"/>
    <mergeCell ref="D410:E410"/>
    <mergeCell ref="D411:E411"/>
    <mergeCell ref="D412:E412"/>
    <mergeCell ref="D413:E413"/>
    <mergeCell ref="G345:H345"/>
    <mergeCell ref="G346:H346"/>
    <mergeCell ref="G347:H347"/>
    <mergeCell ref="G348:H348"/>
    <mergeCell ref="G349:H349"/>
    <mergeCell ref="G350:H350"/>
    <mergeCell ref="G351:H351"/>
    <mergeCell ref="G352:H352"/>
    <mergeCell ref="G357:H357"/>
    <mergeCell ref="G354:H354"/>
    <mergeCell ref="G355:H355"/>
    <mergeCell ref="G356:H356"/>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70:H370"/>
    <mergeCell ref="G371:H371"/>
    <mergeCell ref="G372:H372"/>
    <mergeCell ref="G373:H373"/>
    <mergeCell ref="G362:H362"/>
    <mergeCell ref="G365:H365"/>
    <mergeCell ref="G366:H366"/>
    <mergeCell ref="G367:H367"/>
    <mergeCell ref="G368:H368"/>
    <mergeCell ref="G380:H380"/>
    <mergeCell ref="G381:H381"/>
    <mergeCell ref="G382:H382"/>
    <mergeCell ref="G383:H383"/>
    <mergeCell ref="G386:H386"/>
    <mergeCell ref="G375:H375"/>
    <mergeCell ref="G376:H376"/>
    <mergeCell ref="G377:H377"/>
    <mergeCell ref="G378:H378"/>
    <mergeCell ref="G379:H379"/>
    <mergeCell ref="G392:H392"/>
    <mergeCell ref="G393:H393"/>
    <mergeCell ref="G394:H394"/>
    <mergeCell ref="G396:H396"/>
    <mergeCell ref="G397:H397"/>
    <mergeCell ref="G387:H387"/>
    <mergeCell ref="G388:H388"/>
    <mergeCell ref="G389:H389"/>
    <mergeCell ref="G390:H390"/>
    <mergeCell ref="G391:H391"/>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403:H403"/>
    <mergeCell ref="G404:H404"/>
    <mergeCell ref="G407:H407"/>
    <mergeCell ref="G408:H408"/>
    <mergeCell ref="G409:H409"/>
    <mergeCell ref="G398:H398"/>
    <mergeCell ref="G399:H399"/>
    <mergeCell ref="G400:H400"/>
    <mergeCell ref="G401:H401"/>
    <mergeCell ref="G402:H402"/>
  </mergeCells>
  <hyperlinks>
    <hyperlink ref="A291" r:id="rId1" display="https://www.jse.co.za/trade/derivative-market/equity-derivatives/reports" xr:uid="{00000000-0004-0000-0000-000000000000}"/>
    <hyperlink ref="A293"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186</v>
      </c>
      <c r="B1" s="179" t="s">
        <v>527</v>
      </c>
      <c r="C1" s="179" t="s">
        <v>528</v>
      </c>
      <c r="D1" s="179" t="s">
        <v>529</v>
      </c>
      <c r="E1" s="148" t="s">
        <v>193</v>
      </c>
      <c r="F1" s="200" t="s">
        <v>529</v>
      </c>
      <c r="G1" s="200" t="s">
        <v>527</v>
      </c>
      <c r="H1" s="200" t="s">
        <v>528</v>
      </c>
      <c r="I1" s="148" t="s">
        <v>194</v>
      </c>
      <c r="J1" s="148" t="s">
        <v>196</v>
      </c>
      <c r="K1" s="224" t="s">
        <v>530</v>
      </c>
      <c r="L1" s="224" t="s">
        <v>531</v>
      </c>
      <c r="M1" s="226" t="s">
        <v>528</v>
      </c>
      <c r="N1" s="148" t="s">
        <v>199</v>
      </c>
      <c r="O1" s="231" t="s">
        <v>494</v>
      </c>
      <c r="P1" s="231" t="s">
        <v>495</v>
      </c>
      <c r="Q1" s="231" t="s">
        <v>496</v>
      </c>
      <c r="R1" s="148" t="s">
        <v>422</v>
      </c>
      <c r="S1" s="243"/>
      <c r="T1" s="246"/>
      <c r="U1" s="246"/>
      <c r="V1" s="246"/>
      <c r="W1" s="246"/>
      <c r="X1" s="246"/>
      <c r="Y1" s="241" t="s">
        <v>428</v>
      </c>
      <c r="Z1" s="243" t="s">
        <v>491</v>
      </c>
      <c r="AA1" s="243" t="s">
        <v>634</v>
      </c>
      <c r="AB1" s="243" t="s">
        <v>635</v>
      </c>
      <c r="AC1" s="243" t="s">
        <v>636</v>
      </c>
      <c r="AD1" s="243" t="s">
        <v>637</v>
      </c>
      <c r="AE1" s="243" t="s">
        <v>638</v>
      </c>
      <c r="AF1" s="241" t="s">
        <v>436</v>
      </c>
      <c r="AG1" s="243" t="s">
        <v>491</v>
      </c>
      <c r="AH1" s="243" t="s">
        <v>634</v>
      </c>
      <c r="AI1" s="243" t="s">
        <v>635</v>
      </c>
      <c r="AJ1" s="243" t="s">
        <v>636</v>
      </c>
      <c r="AK1" s="243" t="s">
        <v>637</v>
      </c>
      <c r="AL1" s="243" t="s">
        <v>638</v>
      </c>
      <c r="AM1" s="241" t="s">
        <v>430</v>
      </c>
      <c r="AN1" s="243" t="s">
        <v>491</v>
      </c>
      <c r="AO1" s="243" t="s">
        <v>634</v>
      </c>
      <c r="AP1" s="243" t="s">
        <v>635</v>
      </c>
      <c r="AQ1" s="243" t="s">
        <v>636</v>
      </c>
      <c r="AR1" s="243" t="s">
        <v>637</v>
      </c>
      <c r="AS1" s="243" t="s">
        <v>638</v>
      </c>
      <c r="AT1" s="241" t="s">
        <v>437</v>
      </c>
      <c r="AU1" s="243" t="s">
        <v>491</v>
      </c>
      <c r="AV1" s="243" t="s">
        <v>634</v>
      </c>
      <c r="AW1" s="243" t="s">
        <v>635</v>
      </c>
      <c r="AX1" s="243" t="s">
        <v>636</v>
      </c>
      <c r="AY1" s="243" t="s">
        <v>637</v>
      </c>
      <c r="AZ1" s="243" t="s">
        <v>638</v>
      </c>
      <c r="BA1" s="241" t="s">
        <v>429</v>
      </c>
      <c r="BB1" s="243" t="s">
        <v>491</v>
      </c>
      <c r="BC1" s="243" t="s">
        <v>634</v>
      </c>
      <c r="BD1" s="243" t="s">
        <v>635</v>
      </c>
      <c r="BE1" s="243" t="s">
        <v>636</v>
      </c>
      <c r="BF1" s="243" t="s">
        <v>637</v>
      </c>
      <c r="BG1" s="243" t="s">
        <v>638</v>
      </c>
      <c r="BH1" s="241" t="s">
        <v>491</v>
      </c>
      <c r="BI1" s="243" t="s">
        <v>634</v>
      </c>
      <c r="BJ1" s="243" t="s">
        <v>635</v>
      </c>
      <c r="BK1" s="243" t="s">
        <v>636</v>
      </c>
      <c r="BL1" s="243" t="s">
        <v>637</v>
      </c>
      <c r="BM1" s="243" t="s">
        <v>638</v>
      </c>
      <c r="BN1" s="243"/>
      <c r="BO1" s="241" t="s">
        <v>438</v>
      </c>
      <c r="BP1" s="253" t="s">
        <v>634</v>
      </c>
      <c r="BQ1" s="253" t="s">
        <v>635</v>
      </c>
      <c r="BR1" s="253" t="s">
        <v>636</v>
      </c>
      <c r="BS1" s="250" t="s">
        <v>471</v>
      </c>
      <c r="BT1" s="255" t="s">
        <v>682</v>
      </c>
      <c r="BU1" s="255" t="s">
        <v>683</v>
      </c>
      <c r="BV1" s="255" t="s">
        <v>684</v>
      </c>
      <c r="BW1" s="255" t="s">
        <v>685</v>
      </c>
      <c r="BX1" s="255" t="s">
        <v>686</v>
      </c>
      <c r="BY1" s="255" t="s">
        <v>687</v>
      </c>
      <c r="BZ1" s="255" t="s">
        <v>688</v>
      </c>
      <c r="CA1" s="255" t="s">
        <v>689</v>
      </c>
      <c r="CB1" s="255" t="s">
        <v>690</v>
      </c>
      <c r="CC1" s="256" t="s">
        <v>472</v>
      </c>
      <c r="CD1" s="257" t="s">
        <v>694</v>
      </c>
      <c r="CE1" s="257" t="s">
        <v>695</v>
      </c>
      <c r="CF1" s="256" t="s">
        <v>477</v>
      </c>
      <c r="CG1" s="255" t="s">
        <v>6</v>
      </c>
      <c r="CH1" s="255" t="s">
        <v>696</v>
      </c>
      <c r="CI1" s="256" t="s">
        <v>479</v>
      </c>
      <c r="CJ1" s="236" t="s">
        <v>107</v>
      </c>
      <c r="CK1" s="236">
        <v>26191</v>
      </c>
      <c r="CL1" s="256" t="s">
        <v>482</v>
      </c>
      <c r="CM1" s="236" t="s">
        <v>107</v>
      </c>
      <c r="CN1" s="236">
        <v>13116</v>
      </c>
      <c r="CO1" s="256" t="s">
        <v>485</v>
      </c>
      <c r="CP1" s="236" t="s">
        <v>107</v>
      </c>
      <c r="CQ1" s="236">
        <v>1034</v>
      </c>
      <c r="CR1" s="256" t="s">
        <v>488</v>
      </c>
      <c r="CS1" s="265" t="s">
        <v>700</v>
      </c>
      <c r="CT1" s="264" t="s">
        <v>701</v>
      </c>
      <c r="CU1" s="264" t="s">
        <v>702</v>
      </c>
      <c r="CV1" s="264" t="s">
        <v>703</v>
      </c>
      <c r="CW1" s="264" t="s">
        <v>704</v>
      </c>
      <c r="CX1" s="264" t="s">
        <v>705</v>
      </c>
      <c r="CY1" s="264" t="s">
        <v>706</v>
      </c>
      <c r="CZ1" s="264" t="s">
        <v>707</v>
      </c>
      <c r="DA1" s="264" t="s">
        <v>708</v>
      </c>
      <c r="DB1" s="264" t="s">
        <v>709</v>
      </c>
      <c r="DC1" s="264" t="s">
        <v>710</v>
      </c>
      <c r="DD1" s="264" t="s">
        <v>711</v>
      </c>
      <c r="DF1" s="336" t="s">
        <v>499</v>
      </c>
      <c r="DG1" s="327" t="s">
        <v>720</v>
      </c>
      <c r="DH1" s="327" t="s">
        <v>721</v>
      </c>
      <c r="DI1" s="336" t="s">
        <v>500</v>
      </c>
      <c r="DJ1" s="334" t="s">
        <v>720</v>
      </c>
      <c r="DK1" s="334" t="s">
        <v>721</v>
      </c>
      <c r="DL1" s="336" t="s">
        <v>501</v>
      </c>
      <c r="DM1" s="329" t="s">
        <v>720</v>
      </c>
      <c r="DN1" s="329" t="s">
        <v>721</v>
      </c>
    </row>
    <row r="2" spans="1:118" x14ac:dyDescent="0.25">
      <c r="B2" s="179">
        <v>7343046827</v>
      </c>
      <c r="C2" s="179">
        <v>521952223039.69843</v>
      </c>
      <c r="D2" s="179">
        <v>7769212</v>
      </c>
      <c r="E2" s="198"/>
      <c r="F2" s="200">
        <v>1753</v>
      </c>
      <c r="G2" s="200">
        <v>988318106</v>
      </c>
      <c r="H2" s="200">
        <v>53805124876.453453</v>
      </c>
      <c r="J2" s="147" t="str">
        <f>K2&amp;L2</f>
        <v>ABuy</v>
      </c>
      <c r="K2" s="223" t="s">
        <v>532</v>
      </c>
      <c r="L2" s="223" t="s">
        <v>533</v>
      </c>
      <c r="M2" s="227">
        <v>220486243972.22375</v>
      </c>
      <c r="O2" s="230">
        <v>88499787660.919998</v>
      </c>
      <c r="P2" s="230">
        <v>-103048627493.28999</v>
      </c>
      <c r="Q2" s="230">
        <v>-14548839832.370001</v>
      </c>
      <c r="S2" s="242"/>
      <c r="T2" s="247"/>
      <c r="U2" s="247"/>
      <c r="V2" s="247"/>
      <c r="W2" s="247"/>
      <c r="X2" s="247"/>
      <c r="Y2" s="234"/>
      <c r="Z2" s="242" t="s">
        <v>639</v>
      </c>
      <c r="AA2" s="242">
        <v>61750</v>
      </c>
      <c r="AB2" s="242">
        <v>1</v>
      </c>
      <c r="AC2" s="242">
        <v>1</v>
      </c>
      <c r="AD2" s="242">
        <v>6</v>
      </c>
      <c r="AE2" s="242">
        <v>1</v>
      </c>
      <c r="AF2" s="242"/>
      <c r="AG2" s="242" t="s">
        <v>640</v>
      </c>
      <c r="AH2" s="242">
        <v>104935</v>
      </c>
      <c r="AI2" s="242">
        <v>5</v>
      </c>
      <c r="AJ2" s="242">
        <v>4</v>
      </c>
      <c r="AK2" s="242">
        <v>2479</v>
      </c>
      <c r="AL2" s="242">
        <v>0</v>
      </c>
      <c r="AM2" s="234"/>
      <c r="AN2" s="242" t="s">
        <v>640</v>
      </c>
      <c r="AO2" s="242">
        <v>13516868</v>
      </c>
      <c r="AP2" s="242">
        <v>1431</v>
      </c>
      <c r="AQ2" s="242">
        <v>43</v>
      </c>
      <c r="AR2" s="242">
        <v>39251</v>
      </c>
      <c r="AS2" s="242">
        <v>0</v>
      </c>
      <c r="AT2" s="234"/>
      <c r="AU2" s="242" t="s">
        <v>640</v>
      </c>
      <c r="AV2" s="242">
        <v>0</v>
      </c>
      <c r="AW2" s="242">
        <v>0</v>
      </c>
      <c r="AX2" s="242">
        <v>0</v>
      </c>
      <c r="AY2" s="242">
        <v>2110</v>
      </c>
      <c r="AZ2" s="242">
        <v>0</v>
      </c>
      <c r="BA2" s="234"/>
      <c r="BB2" s="242" t="s">
        <v>640</v>
      </c>
      <c r="BC2" s="242">
        <v>2403460.65</v>
      </c>
      <c r="BD2" s="242">
        <v>697</v>
      </c>
      <c r="BE2" s="242">
        <v>23</v>
      </c>
      <c r="BF2" s="242">
        <v>14839</v>
      </c>
      <c r="BG2" s="242">
        <v>0</v>
      </c>
      <c r="BH2" s="236" t="s">
        <v>640</v>
      </c>
      <c r="BI2" s="242">
        <v>0</v>
      </c>
      <c r="BJ2" s="242">
        <v>0</v>
      </c>
      <c r="BK2" s="242">
        <v>0</v>
      </c>
      <c r="BL2" s="242">
        <v>764</v>
      </c>
      <c r="BM2" s="242">
        <v>0</v>
      </c>
      <c r="BN2" s="242"/>
      <c r="BO2" s="234"/>
      <c r="BP2" s="252"/>
      <c r="BQ2" s="252"/>
      <c r="BR2" s="252"/>
      <c r="BS2" s="234"/>
      <c r="BT2" s="254" t="s">
        <v>128</v>
      </c>
      <c r="BU2" s="254">
        <v>34</v>
      </c>
      <c r="BV2" s="254">
        <v>0</v>
      </c>
      <c r="BW2" s="254">
        <v>0</v>
      </c>
      <c r="BX2" s="254">
        <v>0</v>
      </c>
      <c r="BY2" s="254">
        <v>0</v>
      </c>
      <c r="BZ2" s="254">
        <v>34</v>
      </c>
      <c r="CA2" s="254">
        <v>24</v>
      </c>
      <c r="CB2" s="254">
        <v>10</v>
      </c>
      <c r="CC2" s="234"/>
      <c r="CD2" s="258">
        <v>1189</v>
      </c>
      <c r="CE2" s="258">
        <v>20841670833097.301</v>
      </c>
      <c r="CF2" s="234"/>
      <c r="CG2" s="254">
        <v>2022</v>
      </c>
      <c r="CH2" s="254">
        <v>21</v>
      </c>
      <c r="CI2" s="234"/>
      <c r="CJ2" s="236" t="s">
        <v>698</v>
      </c>
      <c r="CK2" s="236">
        <v>873380978416</v>
      </c>
      <c r="CL2" s="236"/>
      <c r="CM2" s="236" t="s">
        <v>698</v>
      </c>
      <c r="CN2" s="236">
        <v>2539289885100</v>
      </c>
      <c r="CO2" s="236"/>
      <c r="CP2" s="236" t="s">
        <v>698</v>
      </c>
      <c r="CQ2" s="236">
        <v>131498426927</v>
      </c>
      <c r="CR2" s="234"/>
      <c r="CS2" s="266">
        <v>2022</v>
      </c>
      <c r="CT2" s="264">
        <v>26</v>
      </c>
      <c r="CU2" s="264" t="s">
        <v>712</v>
      </c>
      <c r="CV2" s="264">
        <v>0</v>
      </c>
      <c r="CW2" s="264">
        <v>22681573171</v>
      </c>
      <c r="CX2" s="264">
        <v>2175</v>
      </c>
      <c r="CY2" s="264">
        <v>0</v>
      </c>
      <c r="CZ2" s="264">
        <v>131185816054</v>
      </c>
      <c r="DA2" s="264">
        <v>1182</v>
      </c>
      <c r="DB2" s="264">
        <v>0</v>
      </c>
      <c r="DC2" s="264">
        <v>108504242883</v>
      </c>
      <c r="DD2" s="264">
        <v>993</v>
      </c>
      <c r="DG2" s="328" t="s">
        <v>722</v>
      </c>
      <c r="DH2" s="326">
        <v>14943137.539999999</v>
      </c>
      <c r="DJ2" s="332" t="s">
        <v>722</v>
      </c>
      <c r="DK2" s="330">
        <v>2063672161.0899999</v>
      </c>
      <c r="DM2" s="331" t="s">
        <v>722</v>
      </c>
      <c r="DN2" s="333">
        <v>1532592663.6800001</v>
      </c>
    </row>
    <row r="3" spans="1:118" x14ac:dyDescent="0.25">
      <c r="B3" s="179"/>
      <c r="C3" s="179"/>
      <c r="D3" s="179"/>
      <c r="E3" s="198"/>
      <c r="F3" s="198"/>
      <c r="G3" s="198"/>
      <c r="H3" s="198"/>
      <c r="J3" s="147" t="str">
        <f t="shared" ref="J3:J5" si="0">K3&amp;L3</f>
        <v>PBuy</v>
      </c>
      <c r="K3" s="223" t="s">
        <v>534</v>
      </c>
      <c r="L3" s="223" t="s">
        <v>533</v>
      </c>
      <c r="M3" s="227">
        <v>301465979067.47467</v>
      </c>
      <c r="N3" s="131"/>
      <c r="O3" s="228"/>
      <c r="P3" s="228"/>
      <c r="Q3" s="228"/>
      <c r="S3" s="242"/>
      <c r="T3" s="247"/>
      <c r="U3" s="247"/>
      <c r="V3" s="247"/>
      <c r="W3" s="247"/>
      <c r="X3" s="247"/>
      <c r="Y3" s="234"/>
      <c r="Z3" s="242" t="s">
        <v>640</v>
      </c>
      <c r="AA3" s="242">
        <v>73775466.260000005</v>
      </c>
      <c r="AB3" s="242">
        <v>2417</v>
      </c>
      <c r="AC3" s="242">
        <v>193</v>
      </c>
      <c r="AD3" s="242">
        <v>46029</v>
      </c>
      <c r="AE3" s="242">
        <v>0</v>
      </c>
      <c r="AF3" s="242"/>
      <c r="AG3" s="242" t="s">
        <v>641</v>
      </c>
      <c r="AH3" s="242">
        <v>0</v>
      </c>
      <c r="AI3" s="242">
        <v>0</v>
      </c>
      <c r="AJ3" s="242">
        <v>0</v>
      </c>
      <c r="AK3" s="242">
        <v>0</v>
      </c>
      <c r="AL3" s="242">
        <v>0</v>
      </c>
      <c r="AM3" s="234"/>
      <c r="AN3" s="242" t="s">
        <v>641</v>
      </c>
      <c r="AO3" s="242">
        <v>0</v>
      </c>
      <c r="AP3" s="242">
        <v>0</v>
      </c>
      <c r="AQ3" s="242">
        <v>0</v>
      </c>
      <c r="AR3" s="242">
        <v>0</v>
      </c>
      <c r="AS3" s="242">
        <v>0</v>
      </c>
      <c r="AT3" s="234"/>
      <c r="AU3" s="242" t="s">
        <v>641</v>
      </c>
      <c r="AV3" s="242">
        <v>0</v>
      </c>
      <c r="AW3" s="242">
        <v>0</v>
      </c>
      <c r="AX3" s="242">
        <v>0</v>
      </c>
      <c r="AY3" s="242">
        <v>0</v>
      </c>
      <c r="AZ3" s="242">
        <v>0</v>
      </c>
      <c r="BA3" s="234"/>
      <c r="BB3" s="242" t="s">
        <v>641</v>
      </c>
      <c r="BC3" s="242">
        <v>0</v>
      </c>
      <c r="BD3" s="242">
        <v>0</v>
      </c>
      <c r="BE3" s="242">
        <v>0</v>
      </c>
      <c r="BF3" s="242">
        <v>0</v>
      </c>
      <c r="BG3" s="242">
        <v>0</v>
      </c>
      <c r="BH3" s="236" t="s">
        <v>641</v>
      </c>
      <c r="BI3" s="242">
        <v>0</v>
      </c>
      <c r="BJ3" s="242">
        <v>0</v>
      </c>
      <c r="BK3" s="242">
        <v>0</v>
      </c>
      <c r="BL3" s="242">
        <v>0</v>
      </c>
      <c r="BM3" s="242">
        <v>0</v>
      </c>
      <c r="BN3" s="242"/>
      <c r="BO3" s="234"/>
      <c r="BP3" s="234"/>
      <c r="BQ3" s="234"/>
      <c r="BR3" s="234"/>
      <c r="BS3" s="234"/>
      <c r="BT3" s="254" t="s">
        <v>691</v>
      </c>
      <c r="BU3" s="254">
        <v>1</v>
      </c>
      <c r="BV3" s="254">
        <v>0</v>
      </c>
      <c r="BW3" s="254">
        <v>0</v>
      </c>
      <c r="BX3" s="254">
        <v>0</v>
      </c>
      <c r="BY3" s="254">
        <v>0</v>
      </c>
      <c r="BZ3" s="254">
        <v>1</v>
      </c>
      <c r="CA3" s="254">
        <v>1</v>
      </c>
      <c r="CB3" s="254">
        <v>0</v>
      </c>
      <c r="CC3" s="234"/>
      <c r="CD3" s="234"/>
      <c r="CE3" s="234"/>
      <c r="CF3" s="234"/>
      <c r="CG3" s="254">
        <v>2021</v>
      </c>
      <c r="CH3" s="254">
        <v>21</v>
      </c>
      <c r="CI3" s="234"/>
      <c r="CJ3" s="236" t="s">
        <v>699</v>
      </c>
      <c r="CK3" s="236">
        <v>849085423791.05408</v>
      </c>
      <c r="CL3" s="236"/>
      <c r="CM3" s="236" t="s">
        <v>699</v>
      </c>
      <c r="CN3" s="236">
        <v>2374200762230.7886</v>
      </c>
      <c r="CO3" s="236"/>
      <c r="CP3" s="236" t="s">
        <v>699</v>
      </c>
      <c r="CQ3" s="236">
        <v>33397032359.419968</v>
      </c>
      <c r="CR3" s="234"/>
      <c r="CS3" s="266">
        <v>2022</v>
      </c>
      <c r="CT3" s="264">
        <v>23</v>
      </c>
      <c r="CU3" s="264" t="s">
        <v>713</v>
      </c>
      <c r="CV3" s="264">
        <v>-354783764802.77991</v>
      </c>
      <c r="CW3" s="264">
        <v>-358104330567</v>
      </c>
      <c r="CX3" s="264">
        <v>3275</v>
      </c>
      <c r="CY3" s="264">
        <v>204069000162.16998</v>
      </c>
      <c r="CZ3" s="264">
        <v>224311879497</v>
      </c>
      <c r="DA3" s="264">
        <v>1279</v>
      </c>
      <c r="DB3" s="264">
        <v>558852764964.94995</v>
      </c>
      <c r="DC3" s="264">
        <v>582416210064</v>
      </c>
      <c r="DD3" s="264">
        <v>1996</v>
      </c>
      <c r="DG3" s="328" t="s">
        <v>723</v>
      </c>
      <c r="DH3" s="326">
        <v>533000</v>
      </c>
      <c r="DJ3" s="332" t="s">
        <v>723</v>
      </c>
      <c r="DK3" s="330">
        <v>1077895583.5799999</v>
      </c>
      <c r="DM3" s="331" t="s">
        <v>723</v>
      </c>
      <c r="DN3" s="333">
        <v>2420586104.4200001</v>
      </c>
    </row>
    <row r="4" spans="1:118" x14ac:dyDescent="0.25">
      <c r="A4" s="143" t="s">
        <v>187</v>
      </c>
      <c r="B4" s="179" t="s">
        <v>527</v>
      </c>
      <c r="C4" s="179" t="s">
        <v>528</v>
      </c>
      <c r="D4" s="179" t="s">
        <v>529</v>
      </c>
      <c r="E4" s="198"/>
      <c r="F4" s="200" t="s">
        <v>529</v>
      </c>
      <c r="G4" s="200" t="s">
        <v>527</v>
      </c>
      <c r="H4" s="200" t="s">
        <v>528</v>
      </c>
      <c r="J4" s="147" t="str">
        <f t="shared" si="0"/>
        <v>ASell</v>
      </c>
      <c r="K4" s="223" t="s">
        <v>532</v>
      </c>
      <c r="L4" s="223" t="s">
        <v>535</v>
      </c>
      <c r="M4" s="227">
        <v>219038818932.87405</v>
      </c>
      <c r="N4" s="148" t="s">
        <v>200</v>
      </c>
      <c r="O4" s="231" t="s">
        <v>494</v>
      </c>
      <c r="P4" s="231" t="s">
        <v>495</v>
      </c>
      <c r="Q4" s="231" t="s">
        <v>496</v>
      </c>
      <c r="S4" s="242"/>
      <c r="T4" s="247"/>
      <c r="U4" s="247"/>
      <c r="V4" s="247"/>
      <c r="W4" s="247"/>
      <c r="X4" s="247"/>
      <c r="Y4" s="234"/>
      <c r="Z4" s="242" t="s">
        <v>640</v>
      </c>
      <c r="AA4" s="242">
        <v>10814378417.155001</v>
      </c>
      <c r="AB4" s="242">
        <v>27388</v>
      </c>
      <c r="AC4" s="242">
        <v>4290</v>
      </c>
      <c r="AD4" s="242">
        <v>387248</v>
      </c>
      <c r="AE4" s="242">
        <v>1</v>
      </c>
      <c r="AF4" s="242"/>
      <c r="AG4" s="242" t="s">
        <v>642</v>
      </c>
      <c r="AH4" s="242">
        <v>0</v>
      </c>
      <c r="AI4" s="242">
        <v>0</v>
      </c>
      <c r="AJ4" s="242">
        <v>0</v>
      </c>
      <c r="AK4" s="242">
        <v>0</v>
      </c>
      <c r="AL4" s="242">
        <v>0</v>
      </c>
      <c r="AM4" s="234"/>
      <c r="AN4" s="242" t="s">
        <v>642</v>
      </c>
      <c r="AO4" s="242">
        <v>0</v>
      </c>
      <c r="AP4" s="242">
        <v>0</v>
      </c>
      <c r="AQ4" s="242">
        <v>0</v>
      </c>
      <c r="AR4" s="242">
        <v>0</v>
      </c>
      <c r="AS4" s="242">
        <v>0</v>
      </c>
      <c r="AT4" s="234"/>
      <c r="AU4" s="242" t="s">
        <v>642</v>
      </c>
      <c r="AV4" s="242">
        <v>0</v>
      </c>
      <c r="AW4" s="242">
        <v>0</v>
      </c>
      <c r="AX4" s="242">
        <v>0</v>
      </c>
      <c r="AY4" s="242">
        <v>0</v>
      </c>
      <c r="AZ4" s="242">
        <v>0</v>
      </c>
      <c r="BA4" s="234"/>
      <c r="BB4" s="242" t="s">
        <v>642</v>
      </c>
      <c r="BC4" s="242">
        <v>0</v>
      </c>
      <c r="BD4" s="242">
        <v>0</v>
      </c>
      <c r="BE4" s="242">
        <v>0</v>
      </c>
      <c r="BF4" s="242">
        <v>0</v>
      </c>
      <c r="BG4" s="242">
        <v>0</v>
      </c>
      <c r="BH4" s="236" t="s">
        <v>642</v>
      </c>
      <c r="BI4" s="242">
        <v>0</v>
      </c>
      <c r="BJ4" s="242">
        <v>0</v>
      </c>
      <c r="BK4" s="242">
        <v>0</v>
      </c>
      <c r="BL4" s="242">
        <v>0</v>
      </c>
      <c r="BM4" s="242">
        <v>0</v>
      </c>
      <c r="BN4" s="242"/>
      <c r="BO4" s="241" t="s">
        <v>439</v>
      </c>
      <c r="BP4" s="253" t="s">
        <v>634</v>
      </c>
      <c r="BQ4" s="253" t="s">
        <v>635</v>
      </c>
      <c r="BR4" s="253" t="s">
        <v>636</v>
      </c>
      <c r="BS4" s="234"/>
      <c r="BT4" s="254" t="s">
        <v>692</v>
      </c>
      <c r="BU4" s="254">
        <v>276</v>
      </c>
      <c r="BV4" s="254">
        <v>0</v>
      </c>
      <c r="BW4" s="254">
        <v>3</v>
      </c>
      <c r="BX4" s="254">
        <v>0</v>
      </c>
      <c r="BY4" s="254">
        <v>0</v>
      </c>
      <c r="BZ4" s="254">
        <v>273</v>
      </c>
      <c r="CA4" s="254">
        <v>216</v>
      </c>
      <c r="CB4" s="254">
        <v>60</v>
      </c>
      <c r="CC4" s="256" t="s">
        <v>473</v>
      </c>
      <c r="CD4" s="259" t="s">
        <v>694</v>
      </c>
      <c r="CE4" s="259" t="s">
        <v>695</v>
      </c>
      <c r="CF4" s="234"/>
      <c r="CG4" s="234"/>
      <c r="CH4" s="234"/>
      <c r="CI4" s="234"/>
      <c r="CJ4" s="234"/>
      <c r="CK4" s="234"/>
      <c r="CL4" s="236"/>
      <c r="CM4" s="236"/>
      <c r="CN4" s="236"/>
      <c r="CO4" s="236"/>
      <c r="CP4" s="236"/>
      <c r="CQ4" s="236"/>
      <c r="CR4" s="234"/>
      <c r="CS4" s="266">
        <v>2022</v>
      </c>
      <c r="CT4" s="264">
        <v>23</v>
      </c>
      <c r="CU4" s="264" t="s">
        <v>714</v>
      </c>
      <c r="CV4" s="264">
        <v>325829046149.43994</v>
      </c>
      <c r="CW4" s="264">
        <v>328027628273</v>
      </c>
      <c r="CX4" s="264">
        <v>3128</v>
      </c>
      <c r="CY4" s="264">
        <v>522020633498.38</v>
      </c>
      <c r="CZ4" s="264">
        <v>544127507064</v>
      </c>
      <c r="DA4" s="264">
        <v>1881</v>
      </c>
      <c r="DB4" s="264">
        <v>196191587348.94003</v>
      </c>
      <c r="DC4" s="264">
        <v>216099878791</v>
      </c>
      <c r="DD4" s="264">
        <v>1247</v>
      </c>
      <c r="DG4" s="328" t="s">
        <v>724</v>
      </c>
      <c r="DH4" s="326">
        <v>7500686.8799999999</v>
      </c>
      <c r="DJ4" s="332" t="s">
        <v>724</v>
      </c>
      <c r="DK4" s="330">
        <v>223858726.84</v>
      </c>
      <c r="DM4" s="331" t="s">
        <v>724</v>
      </c>
      <c r="DN4" s="333">
        <v>10108116.01</v>
      </c>
    </row>
    <row r="5" spans="1:118" x14ac:dyDescent="0.25">
      <c r="B5" s="179">
        <v>35111025369</v>
      </c>
      <c r="C5" s="179">
        <v>2609010602977.5903</v>
      </c>
      <c r="D5" s="185">
        <v>35521430</v>
      </c>
      <c r="E5" s="198"/>
      <c r="F5" s="200">
        <v>8290</v>
      </c>
      <c r="G5" s="200">
        <v>3724222613</v>
      </c>
      <c r="H5" s="214">
        <v>243563167219.82538</v>
      </c>
      <c r="J5" s="147" t="str">
        <f t="shared" si="0"/>
        <v>PSell</v>
      </c>
      <c r="K5" s="223" t="s">
        <v>534</v>
      </c>
      <c r="L5" s="223" t="s">
        <v>535</v>
      </c>
      <c r="M5" s="227">
        <v>302913404106.8244</v>
      </c>
      <c r="N5" s="131"/>
      <c r="O5" s="230">
        <v>436867833837.70001</v>
      </c>
      <c r="P5" s="230">
        <v>-436783662794.69</v>
      </c>
      <c r="Q5" s="230">
        <v>84171043.010000005</v>
      </c>
      <c r="S5" s="242"/>
      <c r="T5" s="247"/>
      <c r="U5" s="247"/>
      <c r="V5" s="247"/>
      <c r="W5" s="247"/>
      <c r="X5" s="247"/>
      <c r="Y5" s="234"/>
      <c r="Z5" s="242" t="s">
        <v>641</v>
      </c>
      <c r="AA5" s="242">
        <v>0</v>
      </c>
      <c r="AB5" s="242">
        <v>0</v>
      </c>
      <c r="AC5" s="242">
        <v>0</v>
      </c>
      <c r="AD5" s="242">
        <v>0</v>
      </c>
      <c r="AE5" s="242">
        <v>0</v>
      </c>
      <c r="AF5" s="242"/>
      <c r="AG5" s="242" t="s">
        <v>643</v>
      </c>
      <c r="AH5" s="242">
        <v>0</v>
      </c>
      <c r="AI5" s="242">
        <v>0</v>
      </c>
      <c r="AJ5" s="242">
        <v>0</v>
      </c>
      <c r="AK5" s="242">
        <v>0</v>
      </c>
      <c r="AL5" s="242">
        <v>0</v>
      </c>
      <c r="AM5" s="234"/>
      <c r="AN5" s="242" t="s">
        <v>643</v>
      </c>
      <c r="AO5" s="242">
        <v>0</v>
      </c>
      <c r="AP5" s="242">
        <v>0</v>
      </c>
      <c r="AQ5" s="242">
        <v>0</v>
      </c>
      <c r="AR5" s="242">
        <v>0</v>
      </c>
      <c r="AS5" s="242">
        <v>0</v>
      </c>
      <c r="AT5" s="234"/>
      <c r="AU5" s="242" t="s">
        <v>643</v>
      </c>
      <c r="AV5" s="242">
        <v>0</v>
      </c>
      <c r="AW5" s="242">
        <v>0</v>
      </c>
      <c r="AX5" s="242">
        <v>0</v>
      </c>
      <c r="AY5" s="242">
        <v>0</v>
      </c>
      <c r="AZ5" s="242">
        <v>0</v>
      </c>
      <c r="BA5" s="234"/>
      <c r="BB5" s="242" t="s">
        <v>643</v>
      </c>
      <c r="BC5" s="242">
        <v>0</v>
      </c>
      <c r="BD5" s="242">
        <v>0</v>
      </c>
      <c r="BE5" s="242">
        <v>0</v>
      </c>
      <c r="BF5" s="242">
        <v>0</v>
      </c>
      <c r="BG5" s="242">
        <v>0</v>
      </c>
      <c r="BH5" s="236" t="s">
        <v>643</v>
      </c>
      <c r="BI5" s="242">
        <v>0</v>
      </c>
      <c r="BJ5" s="242">
        <v>0</v>
      </c>
      <c r="BK5" s="242">
        <v>0</v>
      </c>
      <c r="BL5" s="242">
        <v>0</v>
      </c>
      <c r="BM5" s="242">
        <v>0</v>
      </c>
      <c r="BN5" s="242"/>
      <c r="BO5" s="234"/>
      <c r="BP5" s="252"/>
      <c r="BQ5" s="252"/>
      <c r="BR5" s="252"/>
      <c r="BS5" s="234"/>
      <c r="BT5" s="254" t="s">
        <v>693</v>
      </c>
      <c r="BU5" s="254">
        <v>1</v>
      </c>
      <c r="BV5" s="254">
        <v>0</v>
      </c>
      <c r="BW5" s="254">
        <v>0</v>
      </c>
      <c r="BX5" s="254">
        <v>0</v>
      </c>
      <c r="BY5" s="254">
        <v>0</v>
      </c>
      <c r="BZ5" s="254">
        <v>1</v>
      </c>
      <c r="CA5" s="254">
        <v>1</v>
      </c>
      <c r="CB5" s="254">
        <v>0</v>
      </c>
      <c r="CC5" s="234"/>
      <c r="CD5" s="260">
        <v>1010</v>
      </c>
      <c r="CE5" s="260">
        <v>19014120390220.719</v>
      </c>
      <c r="CF5" s="256" t="s">
        <v>478</v>
      </c>
      <c r="CG5" s="255" t="s">
        <v>6</v>
      </c>
      <c r="CH5" s="255" t="s">
        <v>696</v>
      </c>
      <c r="CI5" s="234"/>
      <c r="CJ5" s="234"/>
      <c r="CK5" s="236"/>
      <c r="CL5" s="236"/>
      <c r="CM5" s="236"/>
      <c r="CN5" s="236"/>
      <c r="CO5" s="236"/>
      <c r="CP5" s="236"/>
      <c r="CQ5" s="236"/>
      <c r="CR5" s="234"/>
      <c r="CS5" s="266">
        <v>2022</v>
      </c>
      <c r="CT5" s="264">
        <v>207</v>
      </c>
      <c r="CU5" s="264" t="s">
        <v>715</v>
      </c>
      <c r="CV5" s="264">
        <v>-62759480401.200027</v>
      </c>
      <c r="CW5" s="264">
        <v>-67100503556</v>
      </c>
      <c r="CX5" s="264">
        <v>3539</v>
      </c>
      <c r="CY5" s="264">
        <v>76664872019.35997</v>
      </c>
      <c r="CZ5" s="264">
        <v>80047794728</v>
      </c>
      <c r="DA5" s="264">
        <v>1671</v>
      </c>
      <c r="DB5" s="264">
        <v>139424352420.56003</v>
      </c>
      <c r="DC5" s="264">
        <v>147148298284</v>
      </c>
      <c r="DD5" s="264">
        <v>1868</v>
      </c>
      <c r="DG5" s="328" t="s">
        <v>725</v>
      </c>
      <c r="DH5" s="326">
        <v>38853488.82</v>
      </c>
      <c r="DJ5" s="332" t="s">
        <v>725</v>
      </c>
      <c r="DK5" s="330">
        <v>1752171111.3099999</v>
      </c>
      <c r="DM5" s="331" t="s">
        <v>725</v>
      </c>
      <c r="DN5" s="333">
        <v>2019022570.78</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641</v>
      </c>
      <c r="AA6" s="242">
        <v>5004120</v>
      </c>
      <c r="AB6" s="242">
        <v>29</v>
      </c>
      <c r="AC6" s="242">
        <v>10</v>
      </c>
      <c r="AD6" s="242">
        <v>602</v>
      </c>
      <c r="AE6" s="242">
        <v>1</v>
      </c>
      <c r="AF6" s="242"/>
      <c r="AG6" s="242" t="s">
        <v>644</v>
      </c>
      <c r="AH6" s="242">
        <v>0</v>
      </c>
      <c r="AI6" s="242">
        <v>0</v>
      </c>
      <c r="AJ6" s="242">
        <v>0</v>
      </c>
      <c r="AK6" s="242">
        <v>0</v>
      </c>
      <c r="AL6" s="242">
        <v>0</v>
      </c>
      <c r="AM6" s="234"/>
      <c r="AN6" s="242" t="s">
        <v>644</v>
      </c>
      <c r="AO6" s="242">
        <v>0</v>
      </c>
      <c r="AP6" s="242">
        <v>0</v>
      </c>
      <c r="AQ6" s="242">
        <v>0</v>
      </c>
      <c r="AR6" s="242">
        <v>0</v>
      </c>
      <c r="AS6" s="242">
        <v>0</v>
      </c>
      <c r="AT6" s="234"/>
      <c r="AU6" s="242" t="s">
        <v>644</v>
      </c>
      <c r="AV6" s="242">
        <v>0</v>
      </c>
      <c r="AW6" s="242">
        <v>0</v>
      </c>
      <c r="AX6" s="242">
        <v>0</v>
      </c>
      <c r="AY6" s="242">
        <v>0</v>
      </c>
      <c r="AZ6" s="242">
        <v>0</v>
      </c>
      <c r="BA6" s="234"/>
      <c r="BB6" s="242" t="s">
        <v>644</v>
      </c>
      <c r="BC6" s="242">
        <v>0</v>
      </c>
      <c r="BD6" s="242">
        <v>0</v>
      </c>
      <c r="BE6" s="242">
        <v>0</v>
      </c>
      <c r="BF6" s="242">
        <v>0</v>
      </c>
      <c r="BG6" s="242">
        <v>0</v>
      </c>
      <c r="BH6" s="236" t="s">
        <v>644</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2022</v>
      </c>
      <c r="CH6" s="254">
        <v>102</v>
      </c>
      <c r="CI6" s="256" t="s">
        <v>480</v>
      </c>
      <c r="CJ6" s="236" t="s">
        <v>107</v>
      </c>
      <c r="CK6" s="236">
        <v>133613</v>
      </c>
      <c r="CL6" s="256" t="s">
        <v>483</v>
      </c>
      <c r="CM6" s="236" t="s">
        <v>107</v>
      </c>
      <c r="CN6" s="236">
        <v>58141</v>
      </c>
      <c r="CO6" s="256" t="s">
        <v>486</v>
      </c>
      <c r="CP6" s="236" t="s">
        <v>107</v>
      </c>
      <c r="CQ6" s="236">
        <v>4140</v>
      </c>
      <c r="CR6" s="234"/>
      <c r="CS6" s="266">
        <v>2022</v>
      </c>
      <c r="CT6" s="264">
        <v>63</v>
      </c>
      <c r="CU6" s="264" t="s">
        <v>716</v>
      </c>
      <c r="CV6" s="264">
        <v>3167646978.5499907</v>
      </c>
      <c r="CW6" s="264">
        <v>259650181</v>
      </c>
      <c r="CX6" s="264">
        <v>11606</v>
      </c>
      <c r="CY6" s="264">
        <v>407426817058.09998</v>
      </c>
      <c r="CZ6" s="264">
        <v>423813687045</v>
      </c>
      <c r="DA6" s="264">
        <v>5663</v>
      </c>
      <c r="DB6" s="264">
        <v>404259170079.54993</v>
      </c>
      <c r="DC6" s="264">
        <v>423554036864</v>
      </c>
      <c r="DD6" s="264">
        <v>5943</v>
      </c>
      <c r="DG6" s="328"/>
      <c r="DH6" s="326"/>
      <c r="DJ6" s="332" t="s">
        <v>726</v>
      </c>
      <c r="DK6" s="330">
        <v>54999999.950000003</v>
      </c>
      <c r="DM6" s="331" t="s">
        <v>726</v>
      </c>
      <c r="DN6" s="333">
        <v>746606019.79999995</v>
      </c>
    </row>
    <row r="7" spans="1:118" x14ac:dyDescent="0.25">
      <c r="A7" s="143" t="s">
        <v>188</v>
      </c>
      <c r="B7" s="179" t="s">
        <v>527</v>
      </c>
      <c r="C7" s="179" t="s">
        <v>528</v>
      </c>
      <c r="D7" s="179" t="s">
        <v>529</v>
      </c>
      <c r="E7" s="198"/>
      <c r="F7" s="200" t="s">
        <v>529</v>
      </c>
      <c r="G7" s="200" t="s">
        <v>527</v>
      </c>
      <c r="H7" s="200" t="s">
        <v>528</v>
      </c>
      <c r="I7" s="148" t="s">
        <v>195</v>
      </c>
      <c r="J7" s="143" t="s">
        <v>196</v>
      </c>
      <c r="K7" s="224" t="s">
        <v>530</v>
      </c>
      <c r="L7" s="224" t="s">
        <v>531</v>
      </c>
      <c r="M7" s="226" t="s">
        <v>528</v>
      </c>
      <c r="N7" s="148" t="s">
        <v>201</v>
      </c>
      <c r="O7" s="231" t="s">
        <v>494</v>
      </c>
      <c r="P7" s="231" t="s">
        <v>495</v>
      </c>
      <c r="Q7" s="231" t="s">
        <v>496</v>
      </c>
      <c r="S7" s="242"/>
      <c r="T7" s="247"/>
      <c r="U7" s="247"/>
      <c r="V7" s="247"/>
      <c r="W7" s="247"/>
      <c r="X7" s="247"/>
      <c r="Y7" s="234"/>
      <c r="Z7" s="242" t="s">
        <v>642</v>
      </c>
      <c r="AA7" s="242">
        <v>0</v>
      </c>
      <c r="AB7" s="242">
        <v>0</v>
      </c>
      <c r="AC7" s="242">
        <v>0</v>
      </c>
      <c r="AD7" s="242">
        <v>0</v>
      </c>
      <c r="AE7" s="242">
        <v>0</v>
      </c>
      <c r="AF7" s="242"/>
      <c r="AG7" s="242" t="s">
        <v>645</v>
      </c>
      <c r="AH7" s="242">
        <v>0</v>
      </c>
      <c r="AI7" s="242">
        <v>0</v>
      </c>
      <c r="AJ7" s="242">
        <v>0</v>
      </c>
      <c r="AK7" s="242">
        <v>0</v>
      </c>
      <c r="AL7" s="242">
        <v>0</v>
      </c>
      <c r="AM7" s="234"/>
      <c r="AN7" s="242" t="s">
        <v>645</v>
      </c>
      <c r="AO7" s="242">
        <v>0</v>
      </c>
      <c r="AP7" s="242">
        <v>0</v>
      </c>
      <c r="AQ7" s="242">
        <v>0</v>
      </c>
      <c r="AR7" s="242">
        <v>0</v>
      </c>
      <c r="AS7" s="242">
        <v>0</v>
      </c>
      <c r="AT7" s="234"/>
      <c r="AU7" s="242" t="s">
        <v>645</v>
      </c>
      <c r="AV7" s="242">
        <v>0</v>
      </c>
      <c r="AW7" s="242">
        <v>0</v>
      </c>
      <c r="AX7" s="242">
        <v>0</v>
      </c>
      <c r="AY7" s="242">
        <v>0</v>
      </c>
      <c r="AZ7" s="242">
        <v>0</v>
      </c>
      <c r="BA7" s="234"/>
      <c r="BB7" s="242" t="s">
        <v>645</v>
      </c>
      <c r="BC7" s="242">
        <v>0</v>
      </c>
      <c r="BD7" s="242">
        <v>0</v>
      </c>
      <c r="BE7" s="242">
        <v>0</v>
      </c>
      <c r="BF7" s="242">
        <v>0</v>
      </c>
      <c r="BG7" s="242">
        <v>0</v>
      </c>
      <c r="BH7" s="236" t="s">
        <v>645</v>
      </c>
      <c r="BI7" s="242">
        <v>0</v>
      </c>
      <c r="BJ7" s="242">
        <v>0</v>
      </c>
      <c r="BK7" s="242">
        <v>0</v>
      </c>
      <c r="BL7" s="242">
        <v>0</v>
      </c>
      <c r="BM7" s="242">
        <v>0</v>
      </c>
      <c r="BN7" s="242"/>
      <c r="BO7" s="241" t="s">
        <v>441</v>
      </c>
      <c r="BP7" s="253" t="s">
        <v>634</v>
      </c>
      <c r="BQ7" s="253" t="s">
        <v>635</v>
      </c>
      <c r="BR7" s="253" t="s">
        <v>636</v>
      </c>
      <c r="BS7" s="236"/>
      <c r="BT7" s="254"/>
      <c r="BU7" s="254"/>
      <c r="BV7" s="254"/>
      <c r="BW7" s="254"/>
      <c r="BX7" s="254"/>
      <c r="BY7" s="254"/>
      <c r="BZ7" s="254"/>
      <c r="CA7" s="254"/>
      <c r="CB7" s="254"/>
      <c r="CC7" s="234"/>
      <c r="CD7" s="234"/>
      <c r="CE7" s="234"/>
      <c r="CF7" s="234"/>
      <c r="CG7" s="254">
        <v>2021</v>
      </c>
      <c r="CH7" s="254">
        <v>102</v>
      </c>
      <c r="CI7" s="234"/>
      <c r="CJ7" s="236" t="s">
        <v>698</v>
      </c>
      <c r="CK7" s="236">
        <v>4170351058253</v>
      </c>
      <c r="CL7" s="236"/>
      <c r="CM7" s="236" t="s">
        <v>698</v>
      </c>
      <c r="CN7" s="236">
        <v>11369462823380</v>
      </c>
      <c r="CO7" s="236"/>
      <c r="CP7" s="236" t="s">
        <v>698</v>
      </c>
      <c r="CQ7" s="236">
        <v>488682221401</v>
      </c>
      <c r="CR7" s="234"/>
      <c r="CS7" s="266">
        <v>2022</v>
      </c>
      <c r="CT7" s="264">
        <v>16</v>
      </c>
      <c r="CU7" s="264" t="s">
        <v>717</v>
      </c>
      <c r="CV7" s="264">
        <v>2003361076.3500006</v>
      </c>
      <c r="CW7" s="264">
        <v>146240256</v>
      </c>
      <c r="CX7" s="264">
        <v>383</v>
      </c>
      <c r="CY7" s="264">
        <v>39744468921.169998</v>
      </c>
      <c r="CZ7" s="264">
        <v>41083991064</v>
      </c>
      <c r="DA7" s="264">
        <v>166</v>
      </c>
      <c r="DB7" s="264">
        <v>37741107844.82</v>
      </c>
      <c r="DC7" s="264">
        <v>40937750808</v>
      </c>
      <c r="DD7" s="264">
        <v>217</v>
      </c>
    </row>
    <row r="8" spans="1:118" x14ac:dyDescent="0.25">
      <c r="B8" s="179">
        <v>54440727678</v>
      </c>
      <c r="C8" s="179">
        <v>2327498452634.7642</v>
      </c>
      <c r="D8" s="185">
        <v>33548767</v>
      </c>
      <c r="E8" s="198"/>
      <c r="F8" s="200">
        <v>7054</v>
      </c>
      <c r="G8" s="200">
        <v>5085763217</v>
      </c>
      <c r="H8" s="214">
        <v>175488315316.57428</v>
      </c>
      <c r="J8" s="147" t="str">
        <f>K8&amp;L8</f>
        <v>ABuy</v>
      </c>
      <c r="K8" s="223" t="s">
        <v>532</v>
      </c>
      <c r="L8" s="223" t="s">
        <v>533</v>
      </c>
      <c r="M8" s="227">
        <v>189755522911.89401</v>
      </c>
      <c r="O8" s="233">
        <v>445898157154.22998</v>
      </c>
      <c r="P8" s="233">
        <v>-462235971437.16998</v>
      </c>
      <c r="Q8" s="230">
        <v>-16337814282.940001</v>
      </c>
      <c r="S8" s="242"/>
      <c r="T8" s="247"/>
      <c r="U8" s="247"/>
      <c r="V8" s="247"/>
      <c r="W8" s="247"/>
      <c r="X8" s="247"/>
      <c r="Y8" s="234"/>
      <c r="Z8" s="242" t="s">
        <v>642</v>
      </c>
      <c r="AA8" s="242">
        <v>51139501.399999999</v>
      </c>
      <c r="AB8" s="242">
        <v>488</v>
      </c>
      <c r="AC8" s="242">
        <v>51</v>
      </c>
      <c r="AD8" s="242">
        <v>8916</v>
      </c>
      <c r="AE8" s="242">
        <v>1</v>
      </c>
      <c r="AF8" s="242"/>
      <c r="AG8" s="242" t="s">
        <v>646</v>
      </c>
      <c r="AH8" s="242">
        <v>0</v>
      </c>
      <c r="AI8" s="242">
        <v>0</v>
      </c>
      <c r="AJ8" s="242">
        <v>0</v>
      </c>
      <c r="AK8" s="242">
        <v>0</v>
      </c>
      <c r="AL8" s="242">
        <v>0</v>
      </c>
      <c r="AM8" s="234"/>
      <c r="AN8" s="242" t="s">
        <v>646</v>
      </c>
      <c r="AO8" s="242">
        <v>0</v>
      </c>
      <c r="AP8" s="242">
        <v>0</v>
      </c>
      <c r="AQ8" s="242">
        <v>0</v>
      </c>
      <c r="AR8" s="242">
        <v>0</v>
      </c>
      <c r="AS8" s="242">
        <v>0</v>
      </c>
      <c r="AT8" s="234"/>
      <c r="AU8" s="242" t="s">
        <v>646</v>
      </c>
      <c r="AV8" s="242">
        <v>0</v>
      </c>
      <c r="AW8" s="242">
        <v>0</v>
      </c>
      <c r="AX8" s="242">
        <v>0</v>
      </c>
      <c r="AY8" s="242">
        <v>0</v>
      </c>
      <c r="AZ8" s="242">
        <v>0</v>
      </c>
      <c r="BA8" s="234"/>
      <c r="BB8" s="242" t="s">
        <v>646</v>
      </c>
      <c r="BC8" s="242">
        <v>0</v>
      </c>
      <c r="BD8" s="242">
        <v>0</v>
      </c>
      <c r="BE8" s="242">
        <v>0</v>
      </c>
      <c r="BF8" s="242">
        <v>0</v>
      </c>
      <c r="BG8" s="242">
        <v>0</v>
      </c>
      <c r="BH8" s="236" t="s">
        <v>646</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474</v>
      </c>
      <c r="CD8" s="255" t="s">
        <v>695</v>
      </c>
      <c r="CE8" s="255" t="s">
        <v>697</v>
      </c>
      <c r="CF8" s="234"/>
      <c r="CG8" s="234"/>
      <c r="CH8" s="234"/>
      <c r="CI8" s="234"/>
      <c r="CJ8" s="236" t="s">
        <v>699</v>
      </c>
      <c r="CK8" s="236">
        <v>4079755216301.751</v>
      </c>
      <c r="CL8" s="236"/>
      <c r="CM8" s="236" t="s">
        <v>699</v>
      </c>
      <c r="CN8" s="236">
        <v>10761352780198.734</v>
      </c>
      <c r="CO8" s="236"/>
      <c r="CP8" s="236" t="s">
        <v>699</v>
      </c>
      <c r="CQ8" s="236">
        <v>223830062515.85999</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534</v>
      </c>
      <c r="L9" s="223" t="s">
        <v>533</v>
      </c>
      <c r="M9" s="227">
        <v>265937522609.54553</v>
      </c>
      <c r="N9" s="19"/>
      <c r="O9" s="228"/>
      <c r="P9" s="228"/>
      <c r="Q9" s="228"/>
      <c r="S9" s="242"/>
      <c r="T9" s="247"/>
      <c r="U9" s="247"/>
      <c r="V9" s="247"/>
      <c r="W9" s="247"/>
      <c r="X9" s="247"/>
      <c r="Y9" s="234"/>
      <c r="Z9" s="242" t="s">
        <v>643</v>
      </c>
      <c r="AA9" s="242">
        <v>0</v>
      </c>
      <c r="AB9" s="242">
        <v>0</v>
      </c>
      <c r="AC9" s="242">
        <v>0</v>
      </c>
      <c r="AD9" s="242">
        <v>0</v>
      </c>
      <c r="AE9" s="242">
        <v>0</v>
      </c>
      <c r="AF9" s="242"/>
      <c r="AG9" s="242" t="s">
        <v>647</v>
      </c>
      <c r="AH9" s="242">
        <v>0</v>
      </c>
      <c r="AI9" s="242">
        <v>0</v>
      </c>
      <c r="AJ9" s="242">
        <v>0</v>
      </c>
      <c r="AK9" s="242">
        <v>100</v>
      </c>
      <c r="AL9" s="242">
        <v>0</v>
      </c>
      <c r="AM9" s="234"/>
      <c r="AN9" s="242" t="s">
        <v>647</v>
      </c>
      <c r="AO9" s="242">
        <v>528280</v>
      </c>
      <c r="AP9" s="242">
        <v>90</v>
      </c>
      <c r="AQ9" s="242">
        <v>2</v>
      </c>
      <c r="AR9" s="242">
        <v>939</v>
      </c>
      <c r="AS9" s="242">
        <v>0</v>
      </c>
      <c r="AT9" s="234"/>
      <c r="AU9" s="242" t="s">
        <v>647</v>
      </c>
      <c r="AV9" s="242">
        <v>0</v>
      </c>
      <c r="AW9" s="242">
        <v>0</v>
      </c>
      <c r="AX9" s="242">
        <v>0</v>
      </c>
      <c r="AY9" s="242">
        <v>90</v>
      </c>
      <c r="AZ9" s="242">
        <v>0</v>
      </c>
      <c r="BA9" s="234"/>
      <c r="BB9" s="242" t="s">
        <v>647</v>
      </c>
      <c r="BC9" s="242">
        <v>10520293.24</v>
      </c>
      <c r="BD9" s="242">
        <v>667</v>
      </c>
      <c r="BE9" s="242">
        <v>177</v>
      </c>
      <c r="BF9" s="242">
        <v>26086</v>
      </c>
      <c r="BG9" s="242">
        <v>0</v>
      </c>
      <c r="BH9" s="236" t="s">
        <v>647</v>
      </c>
      <c r="BI9" s="242">
        <v>0</v>
      </c>
      <c r="BJ9" s="242">
        <v>0</v>
      </c>
      <c r="BK9" s="242">
        <v>0</v>
      </c>
      <c r="BL9" s="242">
        <v>1339</v>
      </c>
      <c r="BM9" s="242">
        <v>0</v>
      </c>
      <c r="BN9" s="242"/>
      <c r="BO9" s="236"/>
      <c r="BP9" s="236"/>
      <c r="BQ9" s="236"/>
      <c r="BR9" s="236"/>
      <c r="BS9" s="245" t="s">
        <v>469</v>
      </c>
      <c r="BT9" s="255" t="s">
        <v>682</v>
      </c>
      <c r="BU9" s="255" t="s">
        <v>683</v>
      </c>
      <c r="BV9" s="255" t="s">
        <v>684</v>
      </c>
      <c r="BW9" s="255" t="s">
        <v>685</v>
      </c>
      <c r="BX9" s="255" t="s">
        <v>686</v>
      </c>
      <c r="BY9" s="255" t="s">
        <v>687</v>
      </c>
      <c r="BZ9" s="255" t="s">
        <v>688</v>
      </c>
      <c r="CA9" s="255" t="s">
        <v>689</v>
      </c>
      <c r="CB9" s="255" t="s">
        <v>690</v>
      </c>
      <c r="CC9" s="234"/>
      <c r="CD9" s="258">
        <v>381140954625633.38</v>
      </c>
      <c r="CE9" s="261">
        <v>515962265120.72308</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189</v>
      </c>
      <c r="B10" s="180"/>
      <c r="C10" s="180"/>
      <c r="D10" s="180"/>
      <c r="E10" s="210"/>
      <c r="F10" s="210"/>
      <c r="G10" s="210"/>
      <c r="H10" s="210"/>
      <c r="J10" s="147" t="str">
        <f t="shared" si="1"/>
        <v>ASell</v>
      </c>
      <c r="K10" s="223" t="s">
        <v>532</v>
      </c>
      <c r="L10" s="223" t="s">
        <v>535</v>
      </c>
      <c r="M10" s="227">
        <v>203847465979.04303</v>
      </c>
      <c r="N10" s="156" t="s">
        <v>189</v>
      </c>
      <c r="O10" s="232" t="s">
        <v>494</v>
      </c>
      <c r="P10" s="232" t="s">
        <v>495</v>
      </c>
      <c r="Q10" s="232" t="s">
        <v>496</v>
      </c>
      <c r="S10" s="242"/>
      <c r="T10" s="247"/>
      <c r="U10" s="247"/>
      <c r="V10" s="247"/>
      <c r="W10" s="247"/>
      <c r="X10" s="247"/>
      <c r="Y10" s="234"/>
      <c r="Z10" s="242" t="s">
        <v>643</v>
      </c>
      <c r="AA10" s="242">
        <v>9665690.1960000005</v>
      </c>
      <c r="AB10" s="242">
        <v>391</v>
      </c>
      <c r="AC10" s="242">
        <v>6</v>
      </c>
      <c r="AD10" s="242">
        <v>1916</v>
      </c>
      <c r="AE10" s="242">
        <v>1</v>
      </c>
      <c r="AF10" s="242"/>
      <c r="AG10" s="242" t="s">
        <v>648</v>
      </c>
      <c r="AH10" s="242">
        <v>0</v>
      </c>
      <c r="AI10" s="242">
        <v>0</v>
      </c>
      <c r="AJ10" s="242">
        <v>0</v>
      </c>
      <c r="AK10" s="242">
        <v>0</v>
      </c>
      <c r="AL10" s="242">
        <v>0</v>
      </c>
      <c r="AM10" s="234"/>
      <c r="AN10" s="242" t="s">
        <v>648</v>
      </c>
      <c r="AO10" s="242">
        <v>0</v>
      </c>
      <c r="AP10" s="242">
        <v>0</v>
      </c>
      <c r="AQ10" s="242">
        <v>0</v>
      </c>
      <c r="AR10" s="242">
        <v>0</v>
      </c>
      <c r="AS10" s="242">
        <v>0</v>
      </c>
      <c r="AT10" s="234"/>
      <c r="AU10" s="242" t="s">
        <v>648</v>
      </c>
      <c r="AV10" s="242">
        <v>0</v>
      </c>
      <c r="AW10" s="242">
        <v>0</v>
      </c>
      <c r="AX10" s="242">
        <v>0</v>
      </c>
      <c r="AY10" s="242">
        <v>0</v>
      </c>
      <c r="AZ10" s="242">
        <v>0</v>
      </c>
      <c r="BA10" s="234"/>
      <c r="BB10" s="242" t="s">
        <v>648</v>
      </c>
      <c r="BC10" s="242">
        <v>0</v>
      </c>
      <c r="BD10" s="242">
        <v>0</v>
      </c>
      <c r="BE10" s="242">
        <v>0</v>
      </c>
      <c r="BF10" s="242">
        <v>0</v>
      </c>
      <c r="BG10" s="242">
        <v>0</v>
      </c>
      <c r="BH10" s="236" t="s">
        <v>648</v>
      </c>
      <c r="BI10" s="242">
        <v>0</v>
      </c>
      <c r="BJ10" s="242">
        <v>0</v>
      </c>
      <c r="BK10" s="242">
        <v>0</v>
      </c>
      <c r="BL10" s="242">
        <v>0</v>
      </c>
      <c r="BM10" s="242">
        <v>0</v>
      </c>
      <c r="BN10" s="242"/>
      <c r="BO10" s="241" t="s">
        <v>442</v>
      </c>
      <c r="BP10" s="253" t="s">
        <v>634</v>
      </c>
      <c r="BQ10" s="253" t="s">
        <v>635</v>
      </c>
      <c r="BR10" s="253" t="s">
        <v>636</v>
      </c>
      <c r="BS10" s="234"/>
      <c r="BT10" s="254" t="s">
        <v>128</v>
      </c>
      <c r="BU10" s="254">
        <v>34</v>
      </c>
      <c r="BV10" s="254">
        <v>0</v>
      </c>
      <c r="BW10" s="254">
        <v>2</v>
      </c>
      <c r="BX10" s="254">
        <v>0</v>
      </c>
      <c r="BY10" s="254">
        <v>0</v>
      </c>
      <c r="BZ10" s="254">
        <v>32</v>
      </c>
      <c r="CA10" s="254">
        <v>24</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534</v>
      </c>
      <c r="L11" s="223" t="s">
        <v>535</v>
      </c>
      <c r="M11" s="227">
        <v>251845579542.39655</v>
      </c>
      <c r="N11" s="151"/>
      <c r="O11" s="324">
        <v>969468452821</v>
      </c>
      <c r="P11" s="324">
        <v>-970485061219</v>
      </c>
      <c r="Q11" s="324">
        <v>-1016608398</v>
      </c>
      <c r="S11" s="242"/>
      <c r="T11" s="247"/>
      <c r="U11" s="247"/>
      <c r="V11" s="247"/>
      <c r="W11" s="247"/>
      <c r="X11" s="247"/>
      <c r="Y11" s="234"/>
      <c r="Z11" s="242" t="s">
        <v>644</v>
      </c>
      <c r="AA11" s="242">
        <v>0</v>
      </c>
      <c r="AB11" s="242">
        <v>0</v>
      </c>
      <c r="AC11" s="242">
        <v>0</v>
      </c>
      <c r="AD11" s="242">
        <v>0</v>
      </c>
      <c r="AE11" s="242">
        <v>0</v>
      </c>
      <c r="AF11" s="242"/>
      <c r="AG11" s="242" t="s">
        <v>649</v>
      </c>
      <c r="AH11" s="242">
        <v>0</v>
      </c>
      <c r="AI11" s="242">
        <v>0</v>
      </c>
      <c r="AJ11" s="242">
        <v>0</v>
      </c>
      <c r="AK11" s="242">
        <v>0</v>
      </c>
      <c r="AL11" s="242">
        <v>0</v>
      </c>
      <c r="AM11" s="234"/>
      <c r="AN11" s="242" t="s">
        <v>649</v>
      </c>
      <c r="AO11" s="242">
        <v>0</v>
      </c>
      <c r="AP11" s="242">
        <v>0</v>
      </c>
      <c r="AQ11" s="242">
        <v>0</v>
      </c>
      <c r="AR11" s="242">
        <v>0</v>
      </c>
      <c r="AS11" s="242">
        <v>0</v>
      </c>
      <c r="AT11" s="234"/>
      <c r="AU11" s="242" t="s">
        <v>649</v>
      </c>
      <c r="AV11" s="242">
        <v>0</v>
      </c>
      <c r="AW11" s="242">
        <v>0</v>
      </c>
      <c r="AX11" s="242">
        <v>0</v>
      </c>
      <c r="AY11" s="242">
        <v>0</v>
      </c>
      <c r="AZ11" s="242">
        <v>0</v>
      </c>
      <c r="BA11" s="234"/>
      <c r="BB11" s="242" t="s">
        <v>649</v>
      </c>
      <c r="BC11" s="242">
        <v>0</v>
      </c>
      <c r="BD11" s="242">
        <v>0</v>
      </c>
      <c r="BE11" s="242">
        <v>0</v>
      </c>
      <c r="BF11" s="242">
        <v>0</v>
      </c>
      <c r="BG11" s="242">
        <v>0</v>
      </c>
      <c r="BH11" s="236" t="s">
        <v>649</v>
      </c>
      <c r="BI11" s="242">
        <v>0</v>
      </c>
      <c r="BJ11" s="242">
        <v>0</v>
      </c>
      <c r="BK11" s="242">
        <v>0</v>
      </c>
      <c r="BL11" s="242">
        <v>0</v>
      </c>
      <c r="BM11" s="242">
        <v>0</v>
      </c>
      <c r="BN11" s="242"/>
      <c r="BO11" s="236"/>
      <c r="BP11" s="252"/>
      <c r="BQ11" s="252"/>
      <c r="BR11" s="252"/>
      <c r="BS11" s="234"/>
      <c r="BT11" s="254" t="s">
        <v>691</v>
      </c>
      <c r="BU11" s="254">
        <v>1</v>
      </c>
      <c r="BV11" s="254">
        <v>0</v>
      </c>
      <c r="BW11" s="254">
        <v>0</v>
      </c>
      <c r="BX11" s="254">
        <v>0</v>
      </c>
      <c r="BY11" s="254">
        <v>0</v>
      </c>
      <c r="BZ11" s="254">
        <v>1</v>
      </c>
      <c r="CA11" s="254">
        <v>1</v>
      </c>
      <c r="CB11" s="254">
        <v>0</v>
      </c>
      <c r="CC11" s="256" t="s">
        <v>475</v>
      </c>
      <c r="CD11" s="255" t="s">
        <v>695</v>
      </c>
      <c r="CE11" s="255" t="s">
        <v>697</v>
      </c>
      <c r="CF11" s="234"/>
      <c r="CG11" s="234"/>
      <c r="CH11" s="234"/>
      <c r="CI11" s="256" t="s">
        <v>481</v>
      </c>
      <c r="CJ11" s="236" t="s">
        <v>107</v>
      </c>
      <c r="CK11" s="236">
        <v>141461</v>
      </c>
      <c r="CL11" s="256" t="s">
        <v>484</v>
      </c>
      <c r="CM11" s="236" t="s">
        <v>107</v>
      </c>
      <c r="CN11" s="236">
        <v>60184</v>
      </c>
      <c r="CO11" s="256" t="s">
        <v>487</v>
      </c>
      <c r="CP11" s="236" t="s">
        <v>107</v>
      </c>
      <c r="CQ11" s="236">
        <v>3593</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644</v>
      </c>
      <c r="AA12" s="242">
        <v>8902724.25</v>
      </c>
      <c r="AB12" s="242">
        <v>109</v>
      </c>
      <c r="AC12" s="242">
        <v>30</v>
      </c>
      <c r="AD12" s="242">
        <v>2172</v>
      </c>
      <c r="AE12" s="242">
        <v>1</v>
      </c>
      <c r="AF12" s="242"/>
      <c r="AG12" s="242" t="s">
        <v>650</v>
      </c>
      <c r="AH12" s="242">
        <v>0</v>
      </c>
      <c r="AI12" s="242">
        <v>0</v>
      </c>
      <c r="AJ12" s="242">
        <v>0</v>
      </c>
      <c r="AK12" s="242">
        <v>0</v>
      </c>
      <c r="AL12" s="242">
        <v>0</v>
      </c>
      <c r="AM12" s="234"/>
      <c r="AN12" s="242" t="s">
        <v>650</v>
      </c>
      <c r="AO12" s="242">
        <v>0</v>
      </c>
      <c r="AP12" s="242">
        <v>0</v>
      </c>
      <c r="AQ12" s="242">
        <v>0</v>
      </c>
      <c r="AR12" s="242">
        <v>0</v>
      </c>
      <c r="AS12" s="242">
        <v>0</v>
      </c>
      <c r="AT12" s="234"/>
      <c r="AU12" s="242" t="s">
        <v>650</v>
      </c>
      <c r="AV12" s="242">
        <v>0</v>
      </c>
      <c r="AW12" s="242">
        <v>0</v>
      </c>
      <c r="AX12" s="242">
        <v>0</v>
      </c>
      <c r="AY12" s="242">
        <v>0</v>
      </c>
      <c r="AZ12" s="242">
        <v>0</v>
      </c>
      <c r="BA12" s="234"/>
      <c r="BB12" s="242" t="s">
        <v>650</v>
      </c>
      <c r="BC12" s="242">
        <v>0</v>
      </c>
      <c r="BD12" s="242">
        <v>0</v>
      </c>
      <c r="BE12" s="242">
        <v>0</v>
      </c>
      <c r="BF12" s="242">
        <v>0</v>
      </c>
      <c r="BG12" s="242">
        <v>0</v>
      </c>
      <c r="BH12" s="236" t="s">
        <v>650</v>
      </c>
      <c r="BI12" s="242">
        <v>0</v>
      </c>
      <c r="BJ12" s="242">
        <v>0</v>
      </c>
      <c r="BK12" s="242">
        <v>0</v>
      </c>
      <c r="BL12" s="242">
        <v>0</v>
      </c>
      <c r="BM12" s="242">
        <v>0</v>
      </c>
      <c r="BN12" s="242"/>
      <c r="BO12" s="236"/>
      <c r="BP12" s="252"/>
      <c r="BQ12" s="252"/>
      <c r="BR12" s="252"/>
      <c r="BS12" s="234"/>
      <c r="BT12" s="254" t="s">
        <v>692</v>
      </c>
      <c r="BU12" s="254">
        <v>276</v>
      </c>
      <c r="BV12" s="254">
        <v>2</v>
      </c>
      <c r="BW12" s="254">
        <v>12</v>
      </c>
      <c r="BX12" s="254">
        <v>0</v>
      </c>
      <c r="BY12" s="254">
        <v>0</v>
      </c>
      <c r="BZ12" s="254">
        <v>266</v>
      </c>
      <c r="CA12" s="254">
        <v>216</v>
      </c>
      <c r="CB12" s="254">
        <v>60</v>
      </c>
      <c r="CC12" s="234"/>
      <c r="CD12" s="258">
        <v>1938297001659012</v>
      </c>
      <c r="CE12" s="261">
        <v>2572744499954.1699</v>
      </c>
      <c r="CF12" s="234"/>
      <c r="CG12" s="234"/>
      <c r="CH12" s="234"/>
      <c r="CI12" s="236"/>
      <c r="CJ12" s="236" t="s">
        <v>698</v>
      </c>
      <c r="CK12" s="236">
        <v>4526977139333</v>
      </c>
      <c r="CL12" s="236"/>
      <c r="CM12" s="236" t="s">
        <v>698</v>
      </c>
      <c r="CN12" s="236">
        <v>9236166318795</v>
      </c>
      <c r="CO12" s="236"/>
      <c r="CP12" s="236" t="s">
        <v>698</v>
      </c>
      <c r="CQ12" s="236">
        <v>311674533853</v>
      </c>
      <c r="CR12" s="234"/>
      <c r="CS12" s="234"/>
      <c r="CT12" s="234"/>
      <c r="CU12" s="234"/>
      <c r="CV12" s="234"/>
      <c r="CW12" s="234"/>
      <c r="CX12" s="234"/>
      <c r="CY12" s="234"/>
      <c r="CZ12" s="234"/>
      <c r="DA12" s="234"/>
      <c r="DB12" s="234"/>
      <c r="DC12" s="234"/>
      <c r="DD12" s="234"/>
    </row>
    <row r="13" spans="1:118" x14ac:dyDescent="0.25">
      <c r="A13" s="143" t="s">
        <v>190</v>
      </c>
      <c r="B13" s="180"/>
      <c r="C13" s="180"/>
      <c r="D13" s="180"/>
      <c r="E13" s="210"/>
      <c r="F13" s="210"/>
      <c r="G13" s="210"/>
      <c r="H13" s="210"/>
      <c r="I13" s="148" t="s">
        <v>197</v>
      </c>
      <c r="J13" s="143" t="s">
        <v>196</v>
      </c>
      <c r="K13" s="224" t="s">
        <v>530</v>
      </c>
      <c r="L13" s="224" t="s">
        <v>531</v>
      </c>
      <c r="M13" s="226" t="s">
        <v>528</v>
      </c>
      <c r="N13" s="156" t="s">
        <v>190</v>
      </c>
      <c r="O13" s="232" t="s">
        <v>494</v>
      </c>
      <c r="P13" s="232" t="s">
        <v>495</v>
      </c>
      <c r="Q13" s="232" t="s">
        <v>496</v>
      </c>
      <c r="S13" s="242"/>
      <c r="T13" s="247"/>
      <c r="U13" s="247"/>
      <c r="V13" s="247"/>
      <c r="W13" s="247"/>
      <c r="X13" s="247"/>
      <c r="Y13" s="234"/>
      <c r="Z13" s="242" t="s">
        <v>645</v>
      </c>
      <c r="AA13" s="242">
        <v>0</v>
      </c>
      <c r="AB13" s="242">
        <v>0</v>
      </c>
      <c r="AC13" s="242">
        <v>0</v>
      </c>
      <c r="AD13" s="242">
        <v>0</v>
      </c>
      <c r="AE13" s="242">
        <v>0</v>
      </c>
      <c r="AF13" s="242"/>
      <c r="AG13" s="242" t="s">
        <v>651</v>
      </c>
      <c r="AH13" s="242">
        <v>0</v>
      </c>
      <c r="AI13" s="242">
        <v>0</v>
      </c>
      <c r="AJ13" s="242">
        <v>0</v>
      </c>
      <c r="AK13" s="242">
        <v>0</v>
      </c>
      <c r="AL13" s="242">
        <v>0</v>
      </c>
      <c r="AM13" s="234"/>
      <c r="AN13" s="242" t="s">
        <v>651</v>
      </c>
      <c r="AO13" s="242">
        <v>0</v>
      </c>
      <c r="AP13" s="242">
        <v>0</v>
      </c>
      <c r="AQ13" s="242">
        <v>0</v>
      </c>
      <c r="AR13" s="242">
        <v>0</v>
      </c>
      <c r="AS13" s="242">
        <v>0</v>
      </c>
      <c r="AT13" s="234"/>
      <c r="AU13" s="242" t="s">
        <v>651</v>
      </c>
      <c r="AV13" s="242">
        <v>0</v>
      </c>
      <c r="AW13" s="242">
        <v>0</v>
      </c>
      <c r="AX13" s="242">
        <v>0</v>
      </c>
      <c r="AY13" s="242">
        <v>0</v>
      </c>
      <c r="AZ13" s="242">
        <v>0</v>
      </c>
      <c r="BA13" s="234"/>
      <c r="BB13" s="242" t="s">
        <v>651</v>
      </c>
      <c r="BC13" s="242">
        <v>0</v>
      </c>
      <c r="BD13" s="242">
        <v>0</v>
      </c>
      <c r="BE13" s="242">
        <v>0</v>
      </c>
      <c r="BF13" s="242">
        <v>0</v>
      </c>
      <c r="BG13" s="242">
        <v>0</v>
      </c>
      <c r="BH13" s="236" t="s">
        <v>651</v>
      </c>
      <c r="BI13" s="242">
        <v>0</v>
      </c>
      <c r="BJ13" s="242">
        <v>0</v>
      </c>
      <c r="BK13" s="242">
        <v>0</v>
      </c>
      <c r="BL13" s="242">
        <v>0</v>
      </c>
      <c r="BM13" s="242">
        <v>0</v>
      </c>
      <c r="BN13" s="242"/>
      <c r="BO13" s="241" t="s">
        <v>454</v>
      </c>
      <c r="BP13" s="253" t="s">
        <v>637</v>
      </c>
      <c r="BQ13" s="252"/>
      <c r="BR13" s="252"/>
      <c r="BS13" s="234"/>
      <c r="BT13" s="254" t="s">
        <v>693</v>
      </c>
      <c r="BU13" s="254">
        <v>1</v>
      </c>
      <c r="BV13" s="254">
        <v>0</v>
      </c>
      <c r="BW13" s="254">
        <v>0</v>
      </c>
      <c r="BX13" s="254">
        <v>0</v>
      </c>
      <c r="BY13" s="254">
        <v>0</v>
      </c>
      <c r="BZ13" s="254">
        <v>1</v>
      </c>
      <c r="CA13" s="254">
        <v>1</v>
      </c>
      <c r="CB13" s="254">
        <v>0</v>
      </c>
      <c r="CC13" s="234"/>
      <c r="CD13" s="234"/>
      <c r="CE13" s="234"/>
      <c r="CF13" s="234"/>
      <c r="CG13" s="234"/>
      <c r="CH13" s="234"/>
      <c r="CI13" s="236"/>
      <c r="CJ13" s="236" t="s">
        <v>699</v>
      </c>
      <c r="CK13" s="236">
        <v>4437238197682.0938</v>
      </c>
      <c r="CL13" s="236"/>
      <c r="CM13" s="236" t="s">
        <v>699</v>
      </c>
      <c r="CN13" s="236">
        <v>8921440660630.7305</v>
      </c>
      <c r="CO13" s="236"/>
      <c r="CP13" s="236" t="s">
        <v>699</v>
      </c>
      <c r="CQ13" s="236">
        <v>97924890837.96994</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532</v>
      </c>
      <c r="L14" s="223" t="s">
        <v>533</v>
      </c>
      <c r="M14" s="227">
        <v>201680952444.48999</v>
      </c>
      <c r="N14" s="151"/>
      <c r="O14" s="324">
        <v>784579000000</v>
      </c>
      <c r="P14" s="324">
        <v>-771216000000</v>
      </c>
      <c r="Q14" s="324">
        <v>13363000000</v>
      </c>
      <c r="S14" s="234"/>
      <c r="T14" s="234"/>
      <c r="U14" s="234"/>
      <c r="V14" s="234"/>
      <c r="W14" s="234"/>
      <c r="X14" s="234"/>
      <c r="Y14" s="234"/>
      <c r="Z14" s="242" t="s">
        <v>645</v>
      </c>
      <c r="AA14" s="242">
        <v>11769000</v>
      </c>
      <c r="AB14" s="242">
        <v>69</v>
      </c>
      <c r="AC14" s="242">
        <v>7</v>
      </c>
      <c r="AD14" s="242">
        <v>1153</v>
      </c>
      <c r="AE14" s="242">
        <v>1</v>
      </c>
      <c r="AF14" s="242"/>
      <c r="AG14" s="242" t="s">
        <v>652</v>
      </c>
      <c r="AH14" s="242">
        <v>0</v>
      </c>
      <c r="AI14" s="242">
        <v>0</v>
      </c>
      <c r="AJ14" s="242">
        <v>0</v>
      </c>
      <c r="AK14" s="242">
        <v>0</v>
      </c>
      <c r="AL14" s="242">
        <v>0</v>
      </c>
      <c r="AM14" s="234"/>
      <c r="AN14" s="242" t="s">
        <v>652</v>
      </c>
      <c r="AO14" s="242">
        <v>0</v>
      </c>
      <c r="AP14" s="242">
        <v>0</v>
      </c>
      <c r="AQ14" s="242">
        <v>0</v>
      </c>
      <c r="AR14" s="242">
        <v>0</v>
      </c>
      <c r="AS14" s="242">
        <v>0</v>
      </c>
      <c r="AT14" s="234"/>
      <c r="AU14" s="242" t="s">
        <v>652</v>
      </c>
      <c r="AV14" s="242">
        <v>0</v>
      </c>
      <c r="AW14" s="242">
        <v>0</v>
      </c>
      <c r="AX14" s="242">
        <v>0</v>
      </c>
      <c r="AY14" s="242">
        <v>0</v>
      </c>
      <c r="AZ14" s="242">
        <v>0</v>
      </c>
      <c r="BA14" s="234"/>
      <c r="BB14" s="242" t="s">
        <v>652</v>
      </c>
      <c r="BC14" s="242">
        <v>0</v>
      </c>
      <c r="BD14" s="242">
        <v>0</v>
      </c>
      <c r="BE14" s="242">
        <v>0</v>
      </c>
      <c r="BF14" s="242">
        <v>0</v>
      </c>
      <c r="BG14" s="242">
        <v>0</v>
      </c>
      <c r="BH14" s="236" t="s">
        <v>652</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476</v>
      </c>
      <c r="CD14" s="262" t="s">
        <v>695</v>
      </c>
      <c r="CE14" s="262" t="s">
        <v>697</v>
      </c>
      <c r="CF14" s="234"/>
      <c r="CG14" s="234"/>
      <c r="CH14" s="234"/>
      <c r="CI14" s="236"/>
      <c r="CJ14" s="234"/>
      <c r="CK14" s="234"/>
      <c r="CL14" s="236"/>
      <c r="CM14" s="234"/>
      <c r="CN14" s="234"/>
      <c r="CO14" s="234"/>
      <c r="CP14" s="234"/>
      <c r="CQ14" s="234"/>
      <c r="CR14" s="256" t="s">
        <v>489</v>
      </c>
      <c r="CS14" s="265" t="s">
        <v>718</v>
      </c>
      <c r="CT14" s="264" t="s">
        <v>701</v>
      </c>
      <c r="CU14" s="264" t="s">
        <v>702</v>
      </c>
      <c r="CV14" s="264" t="s">
        <v>703</v>
      </c>
      <c r="CW14" s="264" t="s">
        <v>704</v>
      </c>
      <c r="CX14" s="264" t="s">
        <v>705</v>
      </c>
      <c r="CY14" s="264" t="s">
        <v>706</v>
      </c>
      <c r="CZ14" s="264" t="s">
        <v>707</v>
      </c>
      <c r="DA14" s="264" t="s">
        <v>708</v>
      </c>
      <c r="DB14" s="264" t="s">
        <v>709</v>
      </c>
      <c r="DC14" s="264" t="s">
        <v>710</v>
      </c>
      <c r="DD14" s="264" t="s">
        <v>711</v>
      </c>
    </row>
    <row r="15" spans="1:118" x14ac:dyDescent="0.25">
      <c r="B15" s="180"/>
      <c r="C15" s="180"/>
      <c r="D15" s="180"/>
      <c r="E15" s="210"/>
      <c r="F15" s="211"/>
      <c r="G15" s="211"/>
      <c r="H15" s="210"/>
      <c r="J15" s="147" t="str">
        <f t="shared" ref="J15:J17" si="2">K15&amp;L15</f>
        <v>PBuy</v>
      </c>
      <c r="K15" s="223" t="s">
        <v>534</v>
      </c>
      <c r="L15" s="223" t="s">
        <v>533</v>
      </c>
      <c r="M15" s="227">
        <v>266466145718.755</v>
      </c>
      <c r="N15" s="151"/>
      <c r="O15" s="229"/>
      <c r="P15" s="229"/>
      <c r="Q15" s="229"/>
      <c r="S15" s="243"/>
      <c r="T15" s="246"/>
      <c r="U15" s="246"/>
      <c r="V15" s="246"/>
      <c r="W15" s="246"/>
      <c r="X15" s="246"/>
      <c r="Y15" s="234"/>
      <c r="Z15" s="242" t="s">
        <v>646</v>
      </c>
      <c r="AA15" s="242">
        <v>0</v>
      </c>
      <c r="AB15" s="242">
        <v>0</v>
      </c>
      <c r="AC15" s="242">
        <v>0</v>
      </c>
      <c r="AD15" s="242">
        <v>0</v>
      </c>
      <c r="AE15" s="242">
        <v>0</v>
      </c>
      <c r="AF15" s="242"/>
      <c r="AG15" s="242" t="s">
        <v>653</v>
      </c>
      <c r="AH15" s="242">
        <v>0</v>
      </c>
      <c r="AI15" s="242">
        <v>0</v>
      </c>
      <c r="AJ15" s="242">
        <v>0</v>
      </c>
      <c r="AK15" s="242">
        <v>0</v>
      </c>
      <c r="AL15" s="242">
        <v>0</v>
      </c>
      <c r="AM15" s="234"/>
      <c r="AN15" s="242" t="s">
        <v>653</v>
      </c>
      <c r="AO15" s="242">
        <v>0</v>
      </c>
      <c r="AP15" s="242">
        <v>0</v>
      </c>
      <c r="AQ15" s="242">
        <v>0</v>
      </c>
      <c r="AR15" s="242">
        <v>0</v>
      </c>
      <c r="AS15" s="242">
        <v>0</v>
      </c>
      <c r="AT15" s="234"/>
      <c r="AU15" s="242" t="s">
        <v>653</v>
      </c>
      <c r="AV15" s="242">
        <v>0</v>
      </c>
      <c r="AW15" s="242">
        <v>0</v>
      </c>
      <c r="AX15" s="242">
        <v>0</v>
      </c>
      <c r="AY15" s="242">
        <v>0</v>
      </c>
      <c r="AZ15" s="242">
        <v>0</v>
      </c>
      <c r="BA15" s="234"/>
      <c r="BB15" s="242" t="s">
        <v>653</v>
      </c>
      <c r="BC15" s="242">
        <v>0</v>
      </c>
      <c r="BD15" s="242">
        <v>0</v>
      </c>
      <c r="BE15" s="242">
        <v>0</v>
      </c>
      <c r="BF15" s="242">
        <v>0</v>
      </c>
      <c r="BG15" s="242">
        <v>0</v>
      </c>
      <c r="BH15" s="236" t="s">
        <v>653</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1700458167678708</v>
      </c>
      <c r="CE15" s="263">
        <v>2286614474059.2832</v>
      </c>
      <c r="CF15" s="234"/>
      <c r="CG15" s="234"/>
      <c r="CH15" s="234"/>
      <c r="CI15" s="234"/>
      <c r="CJ15" s="234"/>
      <c r="CK15" s="234"/>
      <c r="CL15" s="234"/>
      <c r="CM15" s="234"/>
      <c r="CN15" s="234"/>
      <c r="CO15" s="234"/>
      <c r="CP15" s="234"/>
      <c r="CQ15" s="234"/>
      <c r="CR15" s="236"/>
      <c r="CS15" s="266" t="s">
        <v>719</v>
      </c>
      <c r="CT15" s="264">
        <v>22</v>
      </c>
      <c r="CU15" s="264" t="s">
        <v>712</v>
      </c>
      <c r="CV15" s="264">
        <v>0</v>
      </c>
      <c r="CW15" s="264">
        <v>22458783935</v>
      </c>
      <c r="CX15" s="264">
        <v>620</v>
      </c>
      <c r="CY15" s="264">
        <v>0</v>
      </c>
      <c r="CZ15" s="264">
        <v>53311941567</v>
      </c>
      <c r="DA15" s="264">
        <v>391</v>
      </c>
      <c r="DB15" s="264">
        <v>0</v>
      </c>
      <c r="DC15" s="264">
        <v>30853157632</v>
      </c>
      <c r="DD15" s="264">
        <v>229</v>
      </c>
    </row>
    <row r="16" spans="1:118" x14ac:dyDescent="0.25">
      <c r="A16" s="143" t="s">
        <v>191</v>
      </c>
      <c r="B16" s="180"/>
      <c r="C16" s="180"/>
      <c r="D16" s="180"/>
      <c r="E16" s="210"/>
      <c r="F16" s="211"/>
      <c r="G16" s="211"/>
      <c r="H16" s="210"/>
      <c r="J16" s="147" t="str">
        <f t="shared" si="2"/>
        <v>ASell</v>
      </c>
      <c r="K16" s="223" t="s">
        <v>532</v>
      </c>
      <c r="L16" s="223" t="s">
        <v>535</v>
      </c>
      <c r="M16" s="227">
        <v>192327846510.44</v>
      </c>
      <c r="N16" s="156" t="s">
        <v>191</v>
      </c>
      <c r="O16" s="232" t="s">
        <v>494</v>
      </c>
      <c r="P16" s="232" t="s">
        <v>495</v>
      </c>
      <c r="Q16" s="232" t="s">
        <v>496</v>
      </c>
      <c r="S16" s="242"/>
      <c r="T16" s="247"/>
      <c r="U16" s="247"/>
      <c r="V16" s="247"/>
      <c r="W16" s="247"/>
      <c r="X16" s="247"/>
      <c r="Y16" s="234"/>
      <c r="Z16" s="242" t="s">
        <v>646</v>
      </c>
      <c r="AA16" s="242">
        <v>15456090.75</v>
      </c>
      <c r="AB16" s="242">
        <v>147</v>
      </c>
      <c r="AC16" s="242">
        <v>7</v>
      </c>
      <c r="AD16" s="242">
        <v>1040</v>
      </c>
      <c r="AE16" s="242">
        <v>1</v>
      </c>
      <c r="AF16" s="242"/>
      <c r="AG16" s="242" t="s">
        <v>654</v>
      </c>
      <c r="AH16" s="242">
        <v>0</v>
      </c>
      <c r="AI16" s="242">
        <v>0</v>
      </c>
      <c r="AJ16" s="242">
        <v>0</v>
      </c>
      <c r="AK16" s="242">
        <v>0</v>
      </c>
      <c r="AL16" s="242">
        <v>0</v>
      </c>
      <c r="AM16" s="234"/>
      <c r="AN16" s="242" t="s">
        <v>654</v>
      </c>
      <c r="AO16" s="242">
        <v>0</v>
      </c>
      <c r="AP16" s="242">
        <v>0</v>
      </c>
      <c r="AQ16" s="242">
        <v>0</v>
      </c>
      <c r="AR16" s="242">
        <v>0</v>
      </c>
      <c r="AS16" s="242">
        <v>0</v>
      </c>
      <c r="AT16" s="234"/>
      <c r="AU16" s="242" t="s">
        <v>654</v>
      </c>
      <c r="AV16" s="242">
        <v>0</v>
      </c>
      <c r="AW16" s="242">
        <v>0</v>
      </c>
      <c r="AX16" s="242">
        <v>0</v>
      </c>
      <c r="AY16" s="242">
        <v>0</v>
      </c>
      <c r="AZ16" s="242">
        <v>0</v>
      </c>
      <c r="BA16" s="234"/>
      <c r="BB16" s="242" t="s">
        <v>654</v>
      </c>
      <c r="BC16" s="242">
        <v>0</v>
      </c>
      <c r="BD16" s="242">
        <v>0</v>
      </c>
      <c r="BE16" s="242">
        <v>0</v>
      </c>
      <c r="BF16" s="242">
        <v>0</v>
      </c>
      <c r="BG16" s="242">
        <v>0</v>
      </c>
      <c r="BH16" s="236" t="s">
        <v>654</v>
      </c>
      <c r="BI16" s="242">
        <v>0</v>
      </c>
      <c r="BJ16" s="242">
        <v>0</v>
      </c>
      <c r="BK16" s="242">
        <v>0</v>
      </c>
      <c r="BL16" s="242">
        <v>0</v>
      </c>
      <c r="BM16" s="242">
        <v>0</v>
      </c>
      <c r="BN16" s="242"/>
      <c r="BO16" s="241" t="s">
        <v>455</v>
      </c>
      <c r="BP16" s="253" t="s">
        <v>637</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719</v>
      </c>
      <c r="CT16" s="264">
        <v>21</v>
      </c>
      <c r="CU16" s="264" t="s">
        <v>713</v>
      </c>
      <c r="CV16" s="264">
        <v>-79832762680.850021</v>
      </c>
      <c r="CW16" s="264">
        <v>-81015200000</v>
      </c>
      <c r="CX16" s="264">
        <v>935</v>
      </c>
      <c r="CY16" s="264">
        <v>58116614149.899979</v>
      </c>
      <c r="CZ16" s="264">
        <v>64413698000</v>
      </c>
      <c r="DA16" s="264">
        <v>372</v>
      </c>
      <c r="DB16" s="264">
        <v>137949376830.74994</v>
      </c>
      <c r="DC16" s="264">
        <v>145428898000</v>
      </c>
      <c r="DD16" s="264">
        <v>563</v>
      </c>
    </row>
    <row r="17" spans="1:108" x14ac:dyDescent="0.25">
      <c r="B17" s="180"/>
      <c r="C17" s="180"/>
      <c r="D17" s="180"/>
      <c r="E17" s="210"/>
      <c r="F17" s="210"/>
      <c r="G17" s="210"/>
      <c r="H17" s="210"/>
      <c r="J17" s="147" t="str">
        <f t="shared" si="2"/>
        <v>PSell</v>
      </c>
      <c r="K17" s="223" t="s">
        <v>534</v>
      </c>
      <c r="L17" s="223" t="s">
        <v>535</v>
      </c>
      <c r="M17" s="227">
        <v>275819251652.80499</v>
      </c>
      <c r="N17" s="151"/>
      <c r="O17" s="324">
        <v>645668000000</v>
      </c>
      <c r="P17" s="324">
        <v>-645833000000</v>
      </c>
      <c r="Q17" s="324">
        <v>-165000000</v>
      </c>
      <c r="R17" s="148" t="s">
        <v>423</v>
      </c>
      <c r="S17" s="242"/>
      <c r="T17" s="247"/>
      <c r="U17" s="247"/>
      <c r="V17" s="247"/>
      <c r="W17" s="247"/>
      <c r="X17" s="247"/>
      <c r="Y17" s="234"/>
      <c r="Z17" s="242" t="s">
        <v>647</v>
      </c>
      <c r="AA17" s="242">
        <v>272300</v>
      </c>
      <c r="AB17" s="242">
        <v>10</v>
      </c>
      <c r="AC17" s="242">
        <v>4</v>
      </c>
      <c r="AD17" s="242">
        <v>2000</v>
      </c>
      <c r="AE17" s="242">
        <v>0</v>
      </c>
      <c r="AF17" s="242"/>
      <c r="AG17" s="242" t="s">
        <v>655</v>
      </c>
      <c r="AH17" s="242">
        <v>0</v>
      </c>
      <c r="AI17" s="242">
        <v>0</v>
      </c>
      <c r="AJ17" s="242">
        <v>0</v>
      </c>
      <c r="AK17" s="242">
        <v>0</v>
      </c>
      <c r="AL17" s="242">
        <v>0</v>
      </c>
      <c r="AM17" s="234"/>
      <c r="AN17" s="242" t="s">
        <v>655</v>
      </c>
      <c r="AO17" s="242">
        <v>0</v>
      </c>
      <c r="AP17" s="242">
        <v>0</v>
      </c>
      <c r="AQ17" s="242">
        <v>0</v>
      </c>
      <c r="AR17" s="242">
        <v>0</v>
      </c>
      <c r="AS17" s="242">
        <v>0</v>
      </c>
      <c r="AT17" s="234"/>
      <c r="AU17" s="242" t="s">
        <v>655</v>
      </c>
      <c r="AV17" s="242">
        <v>0</v>
      </c>
      <c r="AW17" s="242">
        <v>0</v>
      </c>
      <c r="AX17" s="242">
        <v>0</v>
      </c>
      <c r="AY17" s="242">
        <v>0</v>
      </c>
      <c r="AZ17" s="242">
        <v>0</v>
      </c>
      <c r="BA17" s="234"/>
      <c r="BB17" s="242" t="s">
        <v>655</v>
      </c>
      <c r="BC17" s="242">
        <v>0</v>
      </c>
      <c r="BD17" s="242">
        <v>0</v>
      </c>
      <c r="BE17" s="242">
        <v>0</v>
      </c>
      <c r="BF17" s="242">
        <v>0</v>
      </c>
      <c r="BG17" s="242">
        <v>0</v>
      </c>
      <c r="BH17" s="236" t="s">
        <v>655</v>
      </c>
      <c r="BI17" s="242">
        <v>0</v>
      </c>
      <c r="BJ17" s="242">
        <v>0</v>
      </c>
      <c r="BK17" s="242">
        <v>0</v>
      </c>
      <c r="BL17" s="242">
        <v>0</v>
      </c>
      <c r="BM17" s="242">
        <v>0</v>
      </c>
      <c r="BN17" s="242"/>
      <c r="BO17" s="236"/>
      <c r="BP17" s="252"/>
      <c r="BQ17" s="252"/>
      <c r="BR17" s="252"/>
      <c r="BS17" s="245" t="s">
        <v>470</v>
      </c>
      <c r="BT17" s="255" t="s">
        <v>682</v>
      </c>
      <c r="BU17" s="255" t="s">
        <v>683</v>
      </c>
      <c r="BV17" s="255" t="s">
        <v>684</v>
      </c>
      <c r="BW17" s="255" t="s">
        <v>685</v>
      </c>
      <c r="BX17" s="255" t="s">
        <v>686</v>
      </c>
      <c r="BY17" s="255" t="s">
        <v>687</v>
      </c>
      <c r="BZ17" s="255" t="s">
        <v>688</v>
      </c>
      <c r="CA17" s="255" t="s">
        <v>689</v>
      </c>
      <c r="CB17" s="255" t="s">
        <v>690</v>
      </c>
      <c r="CC17" s="338" t="s">
        <v>498</v>
      </c>
      <c r="CD17" s="337" t="s">
        <v>695</v>
      </c>
      <c r="CE17" s="337" t="s">
        <v>697</v>
      </c>
      <c r="CF17" s="234"/>
      <c r="CG17" s="234"/>
      <c r="CH17" s="234"/>
      <c r="CI17" s="234"/>
      <c r="CJ17" s="234"/>
      <c r="CK17" s="234"/>
      <c r="CL17" s="234"/>
      <c r="CM17" s="234"/>
      <c r="CN17" s="234"/>
      <c r="CO17" s="234"/>
      <c r="CP17" s="234"/>
      <c r="CQ17" s="234"/>
      <c r="CR17" s="236"/>
      <c r="CS17" s="266" t="s">
        <v>719</v>
      </c>
      <c r="CT17" s="264">
        <v>21</v>
      </c>
      <c r="CU17" s="264" t="s">
        <v>714</v>
      </c>
      <c r="CV17" s="264">
        <v>71727462984.87001</v>
      </c>
      <c r="CW17" s="264">
        <v>71825700000</v>
      </c>
      <c r="CX17" s="264">
        <v>887</v>
      </c>
      <c r="CY17" s="264">
        <v>129618008942.63992</v>
      </c>
      <c r="CZ17" s="264">
        <v>136131398000</v>
      </c>
      <c r="DA17" s="264">
        <v>522</v>
      </c>
      <c r="DB17" s="264">
        <v>57890545957.77002</v>
      </c>
      <c r="DC17" s="264">
        <v>64305698000</v>
      </c>
      <c r="DD17" s="264">
        <v>365</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647</v>
      </c>
      <c r="AA18" s="242">
        <v>8885717555.8700008</v>
      </c>
      <c r="AB18" s="242">
        <v>18449</v>
      </c>
      <c r="AC18" s="242">
        <v>1696</v>
      </c>
      <c r="AD18" s="242">
        <v>257568</v>
      </c>
      <c r="AE18" s="242">
        <v>1</v>
      </c>
      <c r="AF18" s="242"/>
      <c r="AG18" s="242" t="s">
        <v>656</v>
      </c>
      <c r="AH18" s="242">
        <v>0</v>
      </c>
      <c r="AI18" s="242">
        <v>0</v>
      </c>
      <c r="AJ18" s="242">
        <v>0</v>
      </c>
      <c r="AK18" s="242">
        <v>0</v>
      </c>
      <c r="AL18" s="242">
        <v>0</v>
      </c>
      <c r="AM18" s="234"/>
      <c r="AN18" s="242" t="s">
        <v>656</v>
      </c>
      <c r="AO18" s="242">
        <v>0</v>
      </c>
      <c r="AP18" s="242">
        <v>0</v>
      </c>
      <c r="AQ18" s="242">
        <v>0</v>
      </c>
      <c r="AR18" s="242">
        <v>0</v>
      </c>
      <c r="AS18" s="242">
        <v>0</v>
      </c>
      <c r="AT18" s="234"/>
      <c r="AU18" s="242" t="s">
        <v>656</v>
      </c>
      <c r="AV18" s="242">
        <v>0</v>
      </c>
      <c r="AW18" s="242">
        <v>0</v>
      </c>
      <c r="AX18" s="242">
        <v>0</v>
      </c>
      <c r="AY18" s="242">
        <v>0</v>
      </c>
      <c r="AZ18" s="242">
        <v>0</v>
      </c>
      <c r="BA18" s="234"/>
      <c r="BB18" s="242" t="s">
        <v>656</v>
      </c>
      <c r="BC18" s="242">
        <v>0</v>
      </c>
      <c r="BD18" s="242">
        <v>0</v>
      </c>
      <c r="BE18" s="242">
        <v>0</v>
      </c>
      <c r="BF18" s="242">
        <v>0</v>
      </c>
      <c r="BG18" s="242">
        <v>0</v>
      </c>
      <c r="BH18" s="236" t="s">
        <v>656</v>
      </c>
      <c r="BI18" s="242">
        <v>0</v>
      </c>
      <c r="BJ18" s="242">
        <v>0</v>
      </c>
      <c r="BK18" s="242">
        <v>0</v>
      </c>
      <c r="BL18" s="242">
        <v>0</v>
      </c>
      <c r="BM18" s="242">
        <v>0</v>
      </c>
      <c r="BN18" s="242"/>
      <c r="BO18" s="236"/>
      <c r="BP18" s="252"/>
      <c r="BQ18" s="252"/>
      <c r="BR18" s="252"/>
      <c r="BS18" s="234"/>
      <c r="BT18" s="254" t="s">
        <v>128</v>
      </c>
      <c r="BU18" s="236">
        <v>36</v>
      </c>
      <c r="BV18" s="254">
        <v>0</v>
      </c>
      <c r="BW18" s="254">
        <v>3</v>
      </c>
      <c r="BX18" s="254">
        <v>0</v>
      </c>
      <c r="BY18" s="254">
        <v>0</v>
      </c>
      <c r="BZ18" s="254">
        <v>33</v>
      </c>
      <c r="CA18" s="254">
        <v>26</v>
      </c>
      <c r="CB18" s="254">
        <v>10</v>
      </c>
      <c r="CC18" s="335"/>
      <c r="CD18" s="339">
        <v>18748461969959.738</v>
      </c>
      <c r="CE18" s="340">
        <v>52693378667.336586</v>
      </c>
      <c r="CF18" s="234"/>
      <c r="CG18" s="234"/>
      <c r="CH18" s="234"/>
      <c r="CI18" s="234"/>
      <c r="CJ18" s="234"/>
      <c r="CK18" s="234"/>
      <c r="CL18" s="234"/>
      <c r="CM18" s="234"/>
      <c r="CN18" s="234"/>
      <c r="CO18" s="234"/>
      <c r="CP18" s="234"/>
      <c r="CQ18" s="234"/>
      <c r="CR18" s="236"/>
      <c r="CS18" s="266" t="s">
        <v>719</v>
      </c>
      <c r="CT18" s="264">
        <v>53</v>
      </c>
      <c r="CU18" s="264" t="s">
        <v>715</v>
      </c>
      <c r="CV18" s="264">
        <v>-15973099940.509998</v>
      </c>
      <c r="CW18" s="264">
        <v>-16952333756</v>
      </c>
      <c r="CX18" s="264">
        <v>755</v>
      </c>
      <c r="CY18" s="264">
        <v>21198320560.420002</v>
      </c>
      <c r="CZ18" s="264">
        <v>22288960381</v>
      </c>
      <c r="DA18" s="264">
        <v>340</v>
      </c>
      <c r="DB18" s="264">
        <v>37171420500.930038</v>
      </c>
      <c r="DC18" s="264">
        <v>39241294137</v>
      </c>
      <c r="DD18" s="264">
        <v>415</v>
      </c>
    </row>
    <row r="19" spans="1:108" x14ac:dyDescent="0.25">
      <c r="A19" s="143" t="s">
        <v>192</v>
      </c>
      <c r="B19" s="180"/>
      <c r="C19" s="180"/>
      <c r="D19" s="180"/>
      <c r="E19" s="210"/>
      <c r="F19" s="210"/>
      <c r="G19" s="210"/>
      <c r="H19" s="210"/>
      <c r="I19" s="148" t="s">
        <v>198</v>
      </c>
      <c r="J19" s="143" t="s">
        <v>196</v>
      </c>
      <c r="K19" s="224" t="s">
        <v>530</v>
      </c>
      <c r="L19" s="224" t="s">
        <v>531</v>
      </c>
      <c r="M19" s="226" t="s">
        <v>528</v>
      </c>
      <c r="N19" s="156" t="s">
        <v>192</v>
      </c>
      <c r="O19" s="232" t="s">
        <v>494</v>
      </c>
      <c r="P19" s="232" t="s">
        <v>495</v>
      </c>
      <c r="Q19" s="232" t="s">
        <v>496</v>
      </c>
      <c r="S19" s="242"/>
      <c r="T19" s="247"/>
      <c r="U19" s="247"/>
      <c r="V19" s="247"/>
      <c r="W19" s="247"/>
      <c r="X19" s="247"/>
      <c r="Y19" s="234"/>
      <c r="Z19" s="242" t="s">
        <v>648</v>
      </c>
      <c r="AA19" s="242">
        <v>0</v>
      </c>
      <c r="AB19" s="242">
        <v>0</v>
      </c>
      <c r="AC19" s="242">
        <v>0</v>
      </c>
      <c r="AD19" s="242">
        <v>0</v>
      </c>
      <c r="AE19" s="242">
        <v>0</v>
      </c>
      <c r="AF19" s="242"/>
      <c r="AG19" s="242" t="s">
        <v>657</v>
      </c>
      <c r="AH19" s="242">
        <v>0</v>
      </c>
      <c r="AI19" s="242">
        <v>0</v>
      </c>
      <c r="AJ19" s="242">
        <v>0</v>
      </c>
      <c r="AK19" s="242">
        <v>0</v>
      </c>
      <c r="AL19" s="242">
        <v>0</v>
      </c>
      <c r="AM19" s="234"/>
      <c r="AN19" s="242" t="s">
        <v>657</v>
      </c>
      <c r="AO19" s="242">
        <v>0</v>
      </c>
      <c r="AP19" s="242">
        <v>0</v>
      </c>
      <c r="AQ19" s="242">
        <v>0</v>
      </c>
      <c r="AR19" s="242">
        <v>0</v>
      </c>
      <c r="AS19" s="242">
        <v>0</v>
      </c>
      <c r="AT19" s="234"/>
      <c r="AU19" s="242" t="s">
        <v>657</v>
      </c>
      <c r="AV19" s="242">
        <v>0</v>
      </c>
      <c r="AW19" s="242">
        <v>0</v>
      </c>
      <c r="AX19" s="242">
        <v>0</v>
      </c>
      <c r="AY19" s="242">
        <v>0</v>
      </c>
      <c r="AZ19" s="242">
        <v>0</v>
      </c>
      <c r="BA19" s="234"/>
      <c r="BB19" s="242" t="s">
        <v>680</v>
      </c>
      <c r="BC19" s="242">
        <v>0</v>
      </c>
      <c r="BD19" s="242">
        <v>0</v>
      </c>
      <c r="BE19" s="242">
        <v>0</v>
      </c>
      <c r="BF19" s="242">
        <v>0</v>
      </c>
      <c r="BG19" s="242">
        <v>0</v>
      </c>
      <c r="BH19" s="236" t="s">
        <v>680</v>
      </c>
      <c r="BI19" s="242">
        <v>0</v>
      </c>
      <c r="BJ19" s="242">
        <v>0</v>
      </c>
      <c r="BK19" s="242">
        <v>0</v>
      </c>
      <c r="BL19" s="242">
        <v>0</v>
      </c>
      <c r="BM19" s="242">
        <v>0</v>
      </c>
      <c r="BN19" s="242"/>
      <c r="BO19" s="245" t="s">
        <v>452</v>
      </c>
      <c r="BP19" s="253" t="s">
        <v>528</v>
      </c>
      <c r="BQ19" s="253" t="s">
        <v>635</v>
      </c>
      <c r="BR19" s="253" t="s">
        <v>636</v>
      </c>
      <c r="BS19" s="234"/>
      <c r="BT19" s="254" t="s">
        <v>691</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719</v>
      </c>
      <c r="CT19" s="264">
        <v>27</v>
      </c>
      <c r="CU19" s="264" t="s">
        <v>716</v>
      </c>
      <c r="CV19" s="264">
        <v>5494467028.3899956</v>
      </c>
      <c r="CW19" s="264">
        <v>5356222844</v>
      </c>
      <c r="CX19" s="264">
        <v>1942</v>
      </c>
      <c r="CY19" s="264">
        <v>75575068665.350067</v>
      </c>
      <c r="CZ19" s="264">
        <v>80033088666</v>
      </c>
      <c r="DA19" s="264">
        <v>966</v>
      </c>
      <c r="DB19" s="264">
        <v>70080601636.960037</v>
      </c>
      <c r="DC19" s="264">
        <v>74676865822</v>
      </c>
      <c r="DD19" s="264">
        <v>976</v>
      </c>
    </row>
    <row r="20" spans="1:108" x14ac:dyDescent="0.25">
      <c r="B20" s="180"/>
      <c r="C20" s="180"/>
      <c r="D20" s="180"/>
      <c r="E20" s="210"/>
      <c r="F20" s="210"/>
      <c r="G20" s="210"/>
      <c r="H20" s="210"/>
      <c r="J20" s="147" t="str">
        <f>K20&amp;L20</f>
        <v>ABuy</v>
      </c>
      <c r="K20" s="223" t="s">
        <v>532</v>
      </c>
      <c r="L20" s="223" t="s">
        <v>533</v>
      </c>
      <c r="M20" s="227">
        <v>174448912404.26498</v>
      </c>
      <c r="N20" s="151"/>
      <c r="O20" s="324">
        <v>525050000000</v>
      </c>
      <c r="P20" s="324">
        <v>-528401000000</v>
      </c>
      <c r="Q20" s="324">
        <v>-3351000000</v>
      </c>
      <c r="S20" s="242"/>
      <c r="T20" s="247"/>
      <c r="U20" s="247"/>
      <c r="V20" s="247"/>
      <c r="W20" s="247"/>
      <c r="X20" s="247"/>
      <c r="Y20" s="234"/>
      <c r="Z20" s="242" t="s">
        <v>648</v>
      </c>
      <c r="AA20" s="242">
        <v>85537784.700000003</v>
      </c>
      <c r="AB20" s="242">
        <v>2315</v>
      </c>
      <c r="AC20" s="242">
        <v>109</v>
      </c>
      <c r="AD20" s="242">
        <v>21841</v>
      </c>
      <c r="AE20" s="242">
        <v>1</v>
      </c>
      <c r="AF20" s="242"/>
      <c r="AG20" s="242" t="s">
        <v>658</v>
      </c>
      <c r="AH20" s="242">
        <v>0</v>
      </c>
      <c r="AI20" s="242">
        <v>0</v>
      </c>
      <c r="AJ20" s="242">
        <v>0</v>
      </c>
      <c r="AK20" s="242">
        <v>0</v>
      </c>
      <c r="AL20" s="242">
        <v>0</v>
      </c>
      <c r="AM20" s="234"/>
      <c r="AN20" s="242" t="s">
        <v>658</v>
      </c>
      <c r="AO20" s="242">
        <v>0</v>
      </c>
      <c r="AP20" s="242">
        <v>0</v>
      </c>
      <c r="AQ20" s="242">
        <v>0</v>
      </c>
      <c r="AR20" s="242">
        <v>0</v>
      </c>
      <c r="AS20" s="242">
        <v>0</v>
      </c>
      <c r="AT20" s="234"/>
      <c r="AU20" s="242" t="s">
        <v>658</v>
      </c>
      <c r="AV20" s="242">
        <v>0</v>
      </c>
      <c r="AW20" s="242">
        <v>0</v>
      </c>
      <c r="AX20" s="242">
        <v>0</v>
      </c>
      <c r="AY20" s="242">
        <v>0</v>
      </c>
      <c r="AZ20" s="242">
        <v>0</v>
      </c>
      <c r="BA20" s="234"/>
      <c r="BB20" s="242" t="s">
        <v>681</v>
      </c>
      <c r="BC20" s="242">
        <v>0</v>
      </c>
      <c r="BD20" s="242">
        <v>0</v>
      </c>
      <c r="BE20" s="242">
        <v>0</v>
      </c>
      <c r="BF20" s="242">
        <v>0</v>
      </c>
      <c r="BG20" s="242">
        <v>0</v>
      </c>
      <c r="BH20" s="236" t="s">
        <v>681</v>
      </c>
      <c r="BI20" s="242">
        <v>0</v>
      </c>
      <c r="BJ20" s="242">
        <v>0</v>
      </c>
      <c r="BK20" s="242">
        <v>0</v>
      </c>
      <c r="BL20" s="242">
        <v>0</v>
      </c>
      <c r="BM20" s="242">
        <v>0</v>
      </c>
      <c r="BN20" s="242"/>
      <c r="BO20" s="236"/>
      <c r="BP20" s="252">
        <v>62558854234.050003</v>
      </c>
      <c r="BQ20" s="252">
        <v>684191</v>
      </c>
      <c r="BR20" s="252">
        <v>622</v>
      </c>
      <c r="BS20" s="234"/>
      <c r="BT20" s="254" t="s">
        <v>692</v>
      </c>
      <c r="BU20" s="254">
        <v>292</v>
      </c>
      <c r="BV20" s="254">
        <v>5</v>
      </c>
      <c r="BW20" s="254">
        <v>11</v>
      </c>
      <c r="BX20" s="254">
        <v>0</v>
      </c>
      <c r="BY20" s="254">
        <v>0</v>
      </c>
      <c r="BZ20" s="254">
        <v>286</v>
      </c>
      <c r="CA20" s="254">
        <v>232</v>
      </c>
      <c r="CB20" s="254">
        <v>60</v>
      </c>
      <c r="CC20" s="338" t="s">
        <v>497</v>
      </c>
      <c r="CD20" s="337" t="s">
        <v>695</v>
      </c>
      <c r="CE20" s="337" t="s">
        <v>697</v>
      </c>
      <c r="CF20" s="234"/>
      <c r="CG20" s="234"/>
      <c r="CH20" s="234"/>
      <c r="CI20" s="234"/>
      <c r="CJ20" s="234"/>
      <c r="CK20" s="234"/>
      <c r="CL20" s="234"/>
      <c r="CM20" s="234"/>
      <c r="CN20" s="234"/>
      <c r="CO20" s="234"/>
      <c r="CP20" s="234"/>
      <c r="CQ20" s="234"/>
      <c r="CR20" s="236"/>
      <c r="CS20" s="266" t="s">
        <v>719</v>
      </c>
      <c r="CT20" s="264">
        <v>8</v>
      </c>
      <c r="CU20" s="264" t="s">
        <v>717</v>
      </c>
      <c r="CV20" s="264">
        <v>-3292213651.52</v>
      </c>
      <c r="CW20" s="264">
        <v>-3781100000</v>
      </c>
      <c r="CX20" s="264">
        <v>65</v>
      </c>
      <c r="CY20" s="264">
        <v>4785787755.6200008</v>
      </c>
      <c r="CZ20" s="264">
        <v>5950850000</v>
      </c>
      <c r="DA20" s="264">
        <v>22</v>
      </c>
      <c r="DB20" s="264">
        <v>8078001407.1400013</v>
      </c>
      <c r="DC20" s="264">
        <v>9731950000</v>
      </c>
      <c r="DD20" s="264">
        <v>43</v>
      </c>
    </row>
    <row r="21" spans="1:108" x14ac:dyDescent="0.25">
      <c r="B21" s="178"/>
      <c r="C21" s="178"/>
      <c r="D21" s="178"/>
      <c r="E21" s="198"/>
      <c r="F21" s="198"/>
      <c r="G21" s="198"/>
      <c r="H21" s="198"/>
      <c r="J21" s="147" t="str">
        <f t="shared" ref="J21:J22" si="3">K21&amp;L21</f>
        <v>PBuy</v>
      </c>
      <c r="K21" s="223" t="s">
        <v>534</v>
      </c>
      <c r="L21" s="223" t="s">
        <v>533</v>
      </c>
      <c r="M21" s="227">
        <v>228187207260.64001</v>
      </c>
      <c r="O21" s="228"/>
      <c r="P21" s="228"/>
      <c r="Q21" s="228"/>
      <c r="S21" s="242"/>
      <c r="T21" s="247"/>
      <c r="U21" s="247"/>
      <c r="V21" s="247"/>
      <c r="W21" s="247"/>
      <c r="X21" s="247"/>
      <c r="Y21" s="234"/>
      <c r="Z21" s="242" t="s">
        <v>649</v>
      </c>
      <c r="AA21" s="242">
        <v>0</v>
      </c>
      <c r="AB21" s="242">
        <v>0</v>
      </c>
      <c r="AC21" s="242">
        <v>0</v>
      </c>
      <c r="AD21" s="242">
        <v>0</v>
      </c>
      <c r="AE21" s="242">
        <v>0</v>
      </c>
      <c r="AF21" s="242"/>
      <c r="AG21" s="242" t="s">
        <v>659</v>
      </c>
      <c r="AH21" s="242">
        <v>0</v>
      </c>
      <c r="AI21" s="242">
        <v>0</v>
      </c>
      <c r="AJ21" s="242">
        <v>0</v>
      </c>
      <c r="AK21" s="242">
        <v>0</v>
      </c>
      <c r="AL21" s="242">
        <v>0</v>
      </c>
      <c r="AM21" s="234"/>
      <c r="AN21" s="242" t="s">
        <v>659</v>
      </c>
      <c r="AO21" s="242">
        <v>0</v>
      </c>
      <c r="AP21" s="242">
        <v>0</v>
      </c>
      <c r="AQ21" s="242">
        <v>0</v>
      </c>
      <c r="AR21" s="242">
        <v>0</v>
      </c>
      <c r="AS21" s="242">
        <v>0</v>
      </c>
      <c r="AT21" s="234"/>
      <c r="AU21" s="242" t="s">
        <v>659</v>
      </c>
      <c r="AV21" s="242">
        <v>0</v>
      </c>
      <c r="AW21" s="242">
        <v>0</v>
      </c>
      <c r="AX21" s="242">
        <v>0</v>
      </c>
      <c r="AY21" s="242">
        <v>0</v>
      </c>
      <c r="AZ21" s="242">
        <v>0</v>
      </c>
      <c r="BA21" s="234"/>
      <c r="BB21" s="242" t="s">
        <v>657</v>
      </c>
      <c r="BC21" s="242">
        <v>0</v>
      </c>
      <c r="BD21" s="242">
        <v>0</v>
      </c>
      <c r="BE21" s="242">
        <v>0</v>
      </c>
      <c r="BF21" s="242">
        <v>0</v>
      </c>
      <c r="BG21" s="242">
        <v>0</v>
      </c>
      <c r="BH21" s="236" t="s">
        <v>657</v>
      </c>
      <c r="BI21" s="242">
        <v>0</v>
      </c>
      <c r="BJ21" s="242">
        <v>0</v>
      </c>
      <c r="BK21" s="242">
        <v>0</v>
      </c>
      <c r="BL21" s="242">
        <v>0</v>
      </c>
      <c r="BM21" s="242">
        <v>0</v>
      </c>
      <c r="BN21" s="242"/>
      <c r="BO21" s="236"/>
      <c r="BP21" s="252"/>
      <c r="BQ21" s="252"/>
      <c r="BR21" s="252"/>
      <c r="BS21" s="234"/>
      <c r="BT21" s="254" t="s">
        <v>693</v>
      </c>
      <c r="BU21" s="254">
        <v>1</v>
      </c>
      <c r="BV21" s="254">
        <v>0</v>
      </c>
      <c r="BW21" s="254">
        <v>0</v>
      </c>
      <c r="BX21" s="254">
        <v>0</v>
      </c>
      <c r="BY21" s="254">
        <v>0</v>
      </c>
      <c r="BZ21" s="254">
        <v>1</v>
      </c>
      <c r="CA21" s="254">
        <v>1</v>
      </c>
      <c r="CB21" s="254">
        <v>0</v>
      </c>
      <c r="CC21" s="335"/>
      <c r="CD21" s="339">
        <v>4437535178395078</v>
      </c>
      <c r="CE21" s="340">
        <v>6075758471368.4805</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532</v>
      </c>
      <c r="L22" s="223" t="s">
        <v>535</v>
      </c>
      <c r="M22" s="227">
        <v>171800989841.55002</v>
      </c>
      <c r="O22" s="228"/>
      <c r="P22" s="228"/>
      <c r="Q22" s="228"/>
      <c r="S22" s="242"/>
      <c r="T22" s="247"/>
      <c r="U22" s="247"/>
      <c r="V22" s="247"/>
      <c r="W22" s="247"/>
      <c r="X22" s="247"/>
      <c r="Y22" s="234"/>
      <c r="Z22" s="242" t="s">
        <v>649</v>
      </c>
      <c r="AA22" s="242">
        <v>7167870</v>
      </c>
      <c r="AB22" s="242">
        <v>105</v>
      </c>
      <c r="AC22" s="242">
        <v>9</v>
      </c>
      <c r="AD22" s="242">
        <v>2452</v>
      </c>
      <c r="AE22" s="242">
        <v>1</v>
      </c>
      <c r="AF22" s="242"/>
      <c r="AG22" s="242" t="s">
        <v>660</v>
      </c>
      <c r="AH22" s="242">
        <v>0</v>
      </c>
      <c r="AI22" s="242">
        <v>0</v>
      </c>
      <c r="AJ22" s="242">
        <v>0</v>
      </c>
      <c r="AK22" s="242">
        <v>0</v>
      </c>
      <c r="AL22" s="242">
        <v>0</v>
      </c>
      <c r="AM22" s="234"/>
      <c r="AN22" s="242" t="s">
        <v>660</v>
      </c>
      <c r="AO22" s="242">
        <v>0</v>
      </c>
      <c r="AP22" s="242">
        <v>0</v>
      </c>
      <c r="AQ22" s="242">
        <v>0</v>
      </c>
      <c r="AR22" s="242">
        <v>0</v>
      </c>
      <c r="AS22" s="242">
        <v>0</v>
      </c>
      <c r="AT22" s="234"/>
      <c r="AU22" s="242" t="s">
        <v>660</v>
      </c>
      <c r="AV22" s="242">
        <v>0</v>
      </c>
      <c r="AW22" s="242">
        <v>0</v>
      </c>
      <c r="AX22" s="242">
        <v>0</v>
      </c>
      <c r="AY22" s="242">
        <v>0</v>
      </c>
      <c r="AZ22" s="242">
        <v>0</v>
      </c>
      <c r="BA22" s="234"/>
      <c r="BB22" s="242" t="s">
        <v>658</v>
      </c>
      <c r="BC22" s="242">
        <v>0</v>
      </c>
      <c r="BD22" s="242">
        <v>0</v>
      </c>
      <c r="BE22" s="242">
        <v>0</v>
      </c>
      <c r="BF22" s="242">
        <v>0</v>
      </c>
      <c r="BG22" s="242">
        <v>0</v>
      </c>
      <c r="BH22" s="236" t="s">
        <v>658</v>
      </c>
      <c r="BI22" s="242">
        <v>0</v>
      </c>
      <c r="BJ22" s="242">
        <v>0</v>
      </c>
      <c r="BK22" s="242">
        <v>0</v>
      </c>
      <c r="BL22" s="242">
        <v>0</v>
      </c>
      <c r="BM22" s="242">
        <v>0</v>
      </c>
      <c r="BN22" s="242"/>
      <c r="BO22" s="245" t="s">
        <v>453</v>
      </c>
      <c r="BP22" s="253" t="s">
        <v>528</v>
      </c>
      <c r="BQ22" s="253" t="s">
        <v>635</v>
      </c>
      <c r="BR22" s="253" t="s">
        <v>636</v>
      </c>
      <c r="BS22" s="234"/>
      <c r="BT22" s="234"/>
      <c r="BU22" s="25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182</v>
      </c>
      <c r="B23" s="182" t="s">
        <v>202</v>
      </c>
      <c r="C23" s="183" t="s">
        <v>203</v>
      </c>
      <c r="D23" s="182" t="s">
        <v>204</v>
      </c>
      <c r="E23" s="213" t="s">
        <v>623</v>
      </c>
      <c r="F23" s="216" t="s">
        <v>420</v>
      </c>
      <c r="G23" s="213" t="s">
        <v>202</v>
      </c>
      <c r="H23" s="213" t="s">
        <v>536</v>
      </c>
      <c r="I23" s="159"/>
      <c r="J23" s="147" t="str">
        <f>K23&amp;L23</f>
        <v>PSell</v>
      </c>
      <c r="K23" s="223" t="s">
        <v>534</v>
      </c>
      <c r="L23" s="223" t="s">
        <v>535</v>
      </c>
      <c r="M23" s="227">
        <v>230835129823.35501</v>
      </c>
      <c r="N23" s="157" t="s">
        <v>421</v>
      </c>
      <c r="O23" s="231" t="s">
        <v>202</v>
      </c>
      <c r="P23" s="231" t="s">
        <v>536</v>
      </c>
      <c r="Q23" s="228"/>
      <c r="S23" s="242"/>
      <c r="T23" s="247"/>
      <c r="U23" s="247"/>
      <c r="V23" s="247"/>
      <c r="W23" s="247"/>
      <c r="X23" s="247"/>
      <c r="Y23" s="234"/>
      <c r="Z23" s="242" t="s">
        <v>650</v>
      </c>
      <c r="AA23" s="242">
        <v>0</v>
      </c>
      <c r="AB23" s="242">
        <v>0</v>
      </c>
      <c r="AC23" s="242">
        <v>0</v>
      </c>
      <c r="AD23" s="242">
        <v>0</v>
      </c>
      <c r="AE23" s="242">
        <v>0</v>
      </c>
      <c r="AF23" s="242"/>
      <c r="AG23" s="242" t="s">
        <v>661</v>
      </c>
      <c r="AH23" s="242">
        <v>0</v>
      </c>
      <c r="AI23" s="242">
        <v>0</v>
      </c>
      <c r="AJ23" s="242">
        <v>0</v>
      </c>
      <c r="AK23" s="242">
        <v>0</v>
      </c>
      <c r="AL23" s="242">
        <v>0</v>
      </c>
      <c r="AM23" s="234"/>
      <c r="AN23" s="242" t="s">
        <v>661</v>
      </c>
      <c r="AO23" s="242">
        <v>0</v>
      </c>
      <c r="AP23" s="242">
        <v>0</v>
      </c>
      <c r="AQ23" s="242">
        <v>0</v>
      </c>
      <c r="AR23" s="242">
        <v>0</v>
      </c>
      <c r="AS23" s="242">
        <v>0</v>
      </c>
      <c r="AT23" s="234"/>
      <c r="AU23" s="242" t="s">
        <v>661</v>
      </c>
      <c r="AV23" s="242">
        <v>0</v>
      </c>
      <c r="AW23" s="242">
        <v>0</v>
      </c>
      <c r="AX23" s="242">
        <v>0</v>
      </c>
      <c r="AY23" s="242">
        <v>0</v>
      </c>
      <c r="AZ23" s="242">
        <v>0</v>
      </c>
      <c r="BA23" s="234"/>
      <c r="BB23" s="242" t="s">
        <v>659</v>
      </c>
      <c r="BC23" s="242">
        <v>0</v>
      </c>
      <c r="BD23" s="242">
        <v>0</v>
      </c>
      <c r="BE23" s="242">
        <v>0</v>
      </c>
      <c r="BF23" s="242">
        <v>0</v>
      </c>
      <c r="BG23" s="242">
        <v>0</v>
      </c>
      <c r="BH23" s="236" t="s">
        <v>659</v>
      </c>
      <c r="BI23" s="242">
        <v>0</v>
      </c>
      <c r="BJ23" s="242">
        <v>0</v>
      </c>
      <c r="BK23" s="242">
        <v>0</v>
      </c>
      <c r="BL23" s="242">
        <v>0</v>
      </c>
      <c r="BM23" s="242">
        <v>0</v>
      </c>
      <c r="BN23" s="242"/>
      <c r="BO23" s="236"/>
      <c r="BP23" s="252">
        <v>21689430</v>
      </c>
      <c r="BQ23" s="252">
        <v>21560</v>
      </c>
      <c r="BR23" s="252">
        <v>54</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208</v>
      </c>
      <c r="C24" s="184">
        <v>38628</v>
      </c>
      <c r="D24" s="181">
        <v>10207.67</v>
      </c>
      <c r="E24" s="212">
        <v>1</v>
      </c>
      <c r="F24" s="198"/>
      <c r="G24" s="212" t="s">
        <v>247</v>
      </c>
      <c r="H24" s="212">
        <v>18933.17636519</v>
      </c>
      <c r="I24" s="158"/>
      <c r="K24" s="220"/>
      <c r="L24" s="217"/>
      <c r="M24" s="217"/>
      <c r="O24" s="230" t="s">
        <v>247</v>
      </c>
      <c r="P24" s="230">
        <v>19117.28721432</v>
      </c>
      <c r="Q24" s="228"/>
      <c r="S24" s="242"/>
      <c r="T24" s="247"/>
      <c r="U24" s="247"/>
      <c r="V24" s="247"/>
      <c r="W24" s="247"/>
      <c r="X24" s="247"/>
      <c r="Y24" s="234"/>
      <c r="Z24" s="242" t="s">
        <v>650</v>
      </c>
      <c r="AA24" s="242">
        <v>4440340</v>
      </c>
      <c r="AB24" s="242">
        <v>26</v>
      </c>
      <c r="AC24" s="242">
        <v>4</v>
      </c>
      <c r="AD24" s="242">
        <v>521</v>
      </c>
      <c r="AE24" s="242">
        <v>1</v>
      </c>
      <c r="AF24" s="242"/>
      <c r="AG24" s="242" t="s">
        <v>662</v>
      </c>
      <c r="AH24" s="242">
        <v>0</v>
      </c>
      <c r="AI24" s="242">
        <v>0</v>
      </c>
      <c r="AJ24" s="242">
        <v>0</v>
      </c>
      <c r="AK24" s="242">
        <v>478</v>
      </c>
      <c r="AL24" s="242">
        <v>0</v>
      </c>
      <c r="AM24" s="234"/>
      <c r="AN24" s="242" t="s">
        <v>663</v>
      </c>
      <c r="AO24" s="242">
        <v>0</v>
      </c>
      <c r="AP24" s="242">
        <v>0</v>
      </c>
      <c r="AQ24" s="242">
        <v>0</v>
      </c>
      <c r="AR24" s="242">
        <v>0</v>
      </c>
      <c r="AS24" s="242">
        <v>0</v>
      </c>
      <c r="AT24" s="234"/>
      <c r="AU24" s="242" t="s">
        <v>663</v>
      </c>
      <c r="AV24" s="242">
        <v>0</v>
      </c>
      <c r="AW24" s="242">
        <v>0</v>
      </c>
      <c r="AX24" s="242">
        <v>0</v>
      </c>
      <c r="AY24" s="242">
        <v>0</v>
      </c>
      <c r="AZ24" s="242">
        <v>0</v>
      </c>
      <c r="BA24" s="234"/>
      <c r="BB24" s="242" t="s">
        <v>660</v>
      </c>
      <c r="BC24" s="242">
        <v>0</v>
      </c>
      <c r="BD24" s="242">
        <v>0</v>
      </c>
      <c r="BE24" s="242">
        <v>0</v>
      </c>
      <c r="BF24" s="242">
        <v>0</v>
      </c>
      <c r="BG24" s="242">
        <v>0</v>
      </c>
      <c r="BH24" s="236" t="s">
        <v>660</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210</v>
      </c>
      <c r="C25" s="184">
        <v>38716</v>
      </c>
      <c r="D25" s="181">
        <v>10070.700000000001</v>
      </c>
      <c r="E25" s="212">
        <v>1</v>
      </c>
      <c r="F25" s="198"/>
      <c r="G25" s="212" t="s">
        <v>248</v>
      </c>
      <c r="H25" s="212">
        <v>12994.09755764</v>
      </c>
      <c r="I25" s="158"/>
      <c r="K25" s="220"/>
      <c r="L25" s="217"/>
      <c r="M25" s="217"/>
      <c r="O25" s="230" t="s">
        <v>248</v>
      </c>
      <c r="P25" s="230">
        <v>12910.389009410001</v>
      </c>
      <c r="Q25" s="228"/>
      <c r="S25" s="242"/>
      <c r="T25" s="247"/>
      <c r="U25" s="247"/>
      <c r="V25" s="247"/>
      <c r="W25" s="247"/>
      <c r="X25" s="247"/>
      <c r="Y25" s="234"/>
      <c r="Z25" s="242" t="s">
        <v>651</v>
      </c>
      <c r="AA25" s="242">
        <v>0</v>
      </c>
      <c r="AB25" s="242">
        <v>0</v>
      </c>
      <c r="AC25" s="242">
        <v>0</v>
      </c>
      <c r="AD25" s="242">
        <v>0</v>
      </c>
      <c r="AE25" s="242">
        <v>0</v>
      </c>
      <c r="AF25" s="242"/>
      <c r="AG25" s="242" t="s">
        <v>663</v>
      </c>
      <c r="AH25" s="242">
        <v>0</v>
      </c>
      <c r="AI25" s="242">
        <v>0</v>
      </c>
      <c r="AJ25" s="242">
        <v>0</v>
      </c>
      <c r="AK25" s="242">
        <v>0</v>
      </c>
      <c r="AL25" s="242">
        <v>0</v>
      </c>
      <c r="AM25" s="234"/>
      <c r="AN25" s="242" t="s">
        <v>664</v>
      </c>
      <c r="AO25" s="242">
        <v>0</v>
      </c>
      <c r="AP25" s="242">
        <v>0</v>
      </c>
      <c r="AQ25" s="242">
        <v>0</v>
      </c>
      <c r="AR25" s="242">
        <v>0</v>
      </c>
      <c r="AS25" s="242">
        <v>0</v>
      </c>
      <c r="AT25" s="234"/>
      <c r="AU25" s="242" t="s">
        <v>664</v>
      </c>
      <c r="AV25" s="242">
        <v>0</v>
      </c>
      <c r="AW25" s="242">
        <v>0</v>
      </c>
      <c r="AX25" s="242">
        <v>0</v>
      </c>
      <c r="AY25" s="242">
        <v>0</v>
      </c>
      <c r="AZ25" s="242">
        <v>0</v>
      </c>
      <c r="BA25" s="234"/>
      <c r="BB25" s="242" t="s">
        <v>661</v>
      </c>
      <c r="BC25" s="242">
        <v>0</v>
      </c>
      <c r="BD25" s="242">
        <v>0</v>
      </c>
      <c r="BE25" s="242">
        <v>0</v>
      </c>
      <c r="BF25" s="242">
        <v>0</v>
      </c>
      <c r="BG25" s="242">
        <v>0</v>
      </c>
      <c r="BH25" s="236" t="s">
        <v>661</v>
      </c>
      <c r="BI25" s="242">
        <v>0</v>
      </c>
      <c r="BJ25" s="242">
        <v>0</v>
      </c>
      <c r="BK25" s="242">
        <v>0</v>
      </c>
      <c r="BL25" s="242">
        <v>0</v>
      </c>
      <c r="BM25" s="242">
        <v>0</v>
      </c>
      <c r="BN25" s="242"/>
      <c r="BO25" s="245" t="s">
        <v>456</v>
      </c>
      <c r="BP25" s="253" t="s">
        <v>637</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213</v>
      </c>
      <c r="C26" s="184">
        <v>38425</v>
      </c>
      <c r="D26" s="181">
        <v>14581.36</v>
      </c>
      <c r="E26" s="212">
        <v>1</v>
      </c>
      <c r="F26" s="198"/>
      <c r="G26" s="212" t="s">
        <v>250</v>
      </c>
      <c r="H26" s="212">
        <v>4504.6123435400004</v>
      </c>
      <c r="I26" s="158"/>
      <c r="J26" s="152"/>
      <c r="K26" s="221"/>
      <c r="L26" s="217"/>
      <c r="M26" s="217"/>
      <c r="O26" s="230" t="s">
        <v>250</v>
      </c>
      <c r="P26" s="230">
        <v>4524.8112821100003</v>
      </c>
      <c r="Q26" s="228"/>
      <c r="S26" s="242"/>
      <c r="T26" s="247"/>
      <c r="U26" s="247"/>
      <c r="V26" s="247"/>
      <c r="W26" s="247"/>
      <c r="X26" s="247"/>
      <c r="Y26" s="234"/>
      <c r="Z26" s="242" t="s">
        <v>651</v>
      </c>
      <c r="AA26" s="242">
        <v>4994864.5</v>
      </c>
      <c r="AB26" s="242">
        <v>67</v>
      </c>
      <c r="AC26" s="242">
        <v>8</v>
      </c>
      <c r="AD26" s="242">
        <v>2225</v>
      </c>
      <c r="AE26" s="242">
        <v>1</v>
      </c>
      <c r="AF26" s="242"/>
      <c r="AG26" s="242" t="s">
        <v>664</v>
      </c>
      <c r="AH26" s="242">
        <v>0</v>
      </c>
      <c r="AI26" s="242">
        <v>0</v>
      </c>
      <c r="AJ26" s="242">
        <v>0</v>
      </c>
      <c r="AK26" s="242">
        <v>0</v>
      </c>
      <c r="AL26" s="242">
        <v>0</v>
      </c>
      <c r="AM26" s="234"/>
      <c r="AN26" s="242" t="s">
        <v>665</v>
      </c>
      <c r="AO26" s="242">
        <v>0</v>
      </c>
      <c r="AP26" s="242">
        <v>0</v>
      </c>
      <c r="AQ26" s="242">
        <v>0</v>
      </c>
      <c r="AR26" s="242">
        <v>0</v>
      </c>
      <c r="AS26" s="242">
        <v>0</v>
      </c>
      <c r="AT26" s="234"/>
      <c r="AU26" s="242" t="s">
        <v>665</v>
      </c>
      <c r="AV26" s="242">
        <v>0</v>
      </c>
      <c r="AW26" s="242">
        <v>0</v>
      </c>
      <c r="AX26" s="242">
        <v>0</v>
      </c>
      <c r="AY26" s="242">
        <v>0</v>
      </c>
      <c r="AZ26" s="242">
        <v>0</v>
      </c>
      <c r="BA26" s="234"/>
      <c r="BB26" s="242" t="s">
        <v>664</v>
      </c>
      <c r="BC26" s="242">
        <v>1042498.8</v>
      </c>
      <c r="BD26" s="242">
        <v>106</v>
      </c>
      <c r="BE26" s="242">
        <v>15</v>
      </c>
      <c r="BF26" s="242">
        <v>344</v>
      </c>
      <c r="BG26" s="242">
        <v>0</v>
      </c>
      <c r="BH26" s="236" t="s">
        <v>664</v>
      </c>
      <c r="BI26" s="242">
        <v>0</v>
      </c>
      <c r="BJ26" s="242">
        <v>0</v>
      </c>
      <c r="BK26" s="242">
        <v>0</v>
      </c>
      <c r="BL26" s="242">
        <v>36</v>
      </c>
      <c r="BM26" s="242">
        <v>0</v>
      </c>
      <c r="BN26" s="242"/>
      <c r="BO26" s="236"/>
      <c r="BP26" s="252">
        <v>1197381</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216</v>
      </c>
      <c r="C27" s="184">
        <v>38680</v>
      </c>
      <c r="D27" s="181">
        <v>18105.080000000002</v>
      </c>
      <c r="E27" s="212">
        <v>1</v>
      </c>
      <c r="F27" s="198"/>
      <c r="G27" s="212" t="s">
        <v>251</v>
      </c>
      <c r="H27" s="212">
        <v>4271.2858073999996</v>
      </c>
      <c r="I27" s="158"/>
      <c r="J27" s="152"/>
      <c r="K27" s="220"/>
      <c r="L27" s="217"/>
      <c r="M27" s="217"/>
      <c r="O27" s="230" t="s">
        <v>251</v>
      </c>
      <c r="P27" s="230">
        <v>4397.3592769500001</v>
      </c>
      <c r="Q27" s="228"/>
      <c r="S27" s="242"/>
      <c r="T27" s="247"/>
      <c r="U27" s="247"/>
      <c r="V27" s="247"/>
      <c r="W27" s="247"/>
      <c r="X27" s="247"/>
      <c r="Y27" s="234"/>
      <c r="Z27" s="242" t="s">
        <v>652</v>
      </c>
      <c r="AA27" s="242">
        <v>0</v>
      </c>
      <c r="AB27" s="242">
        <v>0</v>
      </c>
      <c r="AC27" s="242">
        <v>0</v>
      </c>
      <c r="AD27" s="242">
        <v>0</v>
      </c>
      <c r="AE27" s="242">
        <v>0</v>
      </c>
      <c r="AF27" s="242"/>
      <c r="AG27" s="242" t="s">
        <v>665</v>
      </c>
      <c r="AH27" s="242">
        <v>0</v>
      </c>
      <c r="AI27" s="242">
        <v>0</v>
      </c>
      <c r="AJ27" s="242">
        <v>0</v>
      </c>
      <c r="AK27" s="242">
        <v>0</v>
      </c>
      <c r="AL27" s="242">
        <v>0</v>
      </c>
      <c r="AM27" s="234"/>
      <c r="AN27" s="242" t="s">
        <v>666</v>
      </c>
      <c r="AO27" s="242">
        <v>0</v>
      </c>
      <c r="AP27" s="242">
        <v>0</v>
      </c>
      <c r="AQ27" s="242">
        <v>0</v>
      </c>
      <c r="AR27" s="242">
        <v>0</v>
      </c>
      <c r="AS27" s="242">
        <v>0</v>
      </c>
      <c r="AT27" s="234"/>
      <c r="AU27" s="242" t="s">
        <v>666</v>
      </c>
      <c r="AV27" s="242">
        <v>0</v>
      </c>
      <c r="AW27" s="242">
        <v>0</v>
      </c>
      <c r="AX27" s="242">
        <v>0</v>
      </c>
      <c r="AY27" s="242">
        <v>0</v>
      </c>
      <c r="AZ27" s="242">
        <v>0</v>
      </c>
      <c r="BA27" s="234"/>
      <c r="BB27" s="242" t="s">
        <v>665</v>
      </c>
      <c r="BC27" s="242">
        <v>0</v>
      </c>
      <c r="BD27" s="242">
        <v>0</v>
      </c>
      <c r="BE27" s="242">
        <v>0</v>
      </c>
      <c r="BF27" s="242">
        <v>0</v>
      </c>
      <c r="BG27" s="242">
        <v>0</v>
      </c>
      <c r="BH27" s="236" t="s">
        <v>665</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490</v>
      </c>
      <c r="CS27" s="265" t="s">
        <v>700</v>
      </c>
      <c r="CT27" s="264" t="s">
        <v>701</v>
      </c>
      <c r="CU27" s="264" t="s">
        <v>702</v>
      </c>
      <c r="CV27" s="264" t="s">
        <v>703</v>
      </c>
      <c r="CW27" s="264" t="s">
        <v>704</v>
      </c>
      <c r="CX27" s="264" t="s">
        <v>705</v>
      </c>
      <c r="CY27" s="264" t="s">
        <v>706</v>
      </c>
      <c r="CZ27" s="264" t="s">
        <v>707</v>
      </c>
      <c r="DA27" s="264" t="s">
        <v>708</v>
      </c>
      <c r="DB27" s="264" t="s">
        <v>709</v>
      </c>
      <c r="DC27" s="264" t="s">
        <v>710</v>
      </c>
      <c r="DD27" s="264" t="s">
        <v>711</v>
      </c>
    </row>
    <row r="28" spans="1:108" ht="14.4" x14ac:dyDescent="0.3">
      <c r="B28" s="181" t="s">
        <v>225</v>
      </c>
      <c r="C28" s="184">
        <v>38615</v>
      </c>
      <c r="D28" s="181">
        <v>4728.4799999999996</v>
      </c>
      <c r="E28" s="212">
        <v>1</v>
      </c>
      <c r="F28" s="198"/>
      <c r="G28" s="212" t="s">
        <v>88</v>
      </c>
      <c r="H28" s="212">
        <v>5121.4419716399998</v>
      </c>
      <c r="I28" s="158"/>
      <c r="J28" s="152"/>
      <c r="K28" s="220"/>
      <c r="L28" s="222"/>
      <c r="M28" s="225"/>
      <c r="O28" s="230" t="s">
        <v>88</v>
      </c>
      <c r="P28" s="230">
        <v>5173.2907151199997</v>
      </c>
      <c r="Q28" s="228"/>
      <c r="S28" s="234"/>
      <c r="T28" s="234"/>
      <c r="U28" s="234"/>
      <c r="V28" s="234"/>
      <c r="W28" s="234"/>
      <c r="X28" s="234"/>
      <c r="Y28" s="234"/>
      <c r="Z28" s="242" t="s">
        <v>652</v>
      </c>
      <c r="AA28" s="242">
        <v>13171514.58</v>
      </c>
      <c r="AB28" s="242">
        <v>92</v>
      </c>
      <c r="AC28" s="242">
        <v>10</v>
      </c>
      <c r="AD28" s="242">
        <v>1375</v>
      </c>
      <c r="AE28" s="242">
        <v>1</v>
      </c>
      <c r="AF28" s="242"/>
      <c r="AG28" s="242" t="s">
        <v>666</v>
      </c>
      <c r="AH28" s="242">
        <v>0</v>
      </c>
      <c r="AI28" s="242">
        <v>0</v>
      </c>
      <c r="AJ28" s="242">
        <v>0</v>
      </c>
      <c r="AK28" s="242">
        <v>0</v>
      </c>
      <c r="AL28" s="242">
        <v>0</v>
      </c>
      <c r="AM28" s="234"/>
      <c r="AN28" s="242" t="s">
        <v>667</v>
      </c>
      <c r="AO28" s="242">
        <v>0</v>
      </c>
      <c r="AP28" s="242">
        <v>0</v>
      </c>
      <c r="AQ28" s="242">
        <v>0</v>
      </c>
      <c r="AR28" s="242">
        <v>0</v>
      </c>
      <c r="AS28" s="242">
        <v>0</v>
      </c>
      <c r="AT28" s="234"/>
      <c r="AU28" s="242" t="s">
        <v>667</v>
      </c>
      <c r="AV28" s="242">
        <v>0</v>
      </c>
      <c r="AW28" s="242">
        <v>0</v>
      </c>
      <c r="AX28" s="242">
        <v>0</v>
      </c>
      <c r="AY28" s="242">
        <v>0</v>
      </c>
      <c r="AZ28" s="242">
        <v>0</v>
      </c>
      <c r="BA28" s="234"/>
      <c r="BB28" s="242" t="s">
        <v>666</v>
      </c>
      <c r="BC28" s="242">
        <v>0</v>
      </c>
      <c r="BD28" s="242">
        <v>0</v>
      </c>
      <c r="BE28" s="242">
        <v>0</v>
      </c>
      <c r="BF28" s="242">
        <v>0</v>
      </c>
      <c r="BG28" s="242">
        <v>0</v>
      </c>
      <c r="BH28" s="236" t="s">
        <v>666</v>
      </c>
      <c r="BI28" s="242">
        <v>0</v>
      </c>
      <c r="BJ28" s="242">
        <v>0</v>
      </c>
      <c r="BK28" s="242">
        <v>0</v>
      </c>
      <c r="BL28" s="242">
        <v>0</v>
      </c>
      <c r="BM28" s="242">
        <v>0</v>
      </c>
      <c r="BN28" s="242"/>
      <c r="BO28" s="245" t="s">
        <v>457</v>
      </c>
      <c r="BP28" s="253" t="s">
        <v>637</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2021</v>
      </c>
      <c r="CT28" s="264">
        <v>31</v>
      </c>
      <c r="CU28" s="264" t="s">
        <v>712</v>
      </c>
      <c r="CV28" s="264">
        <v>0</v>
      </c>
      <c r="CW28" s="264">
        <v>15764556525</v>
      </c>
      <c r="CX28" s="264">
        <v>1578</v>
      </c>
      <c r="CY28" s="264">
        <v>0</v>
      </c>
      <c r="CZ28" s="264">
        <v>85371190223</v>
      </c>
      <c r="DA28" s="264">
        <v>853</v>
      </c>
      <c r="DB28" s="264">
        <v>0</v>
      </c>
      <c r="DC28" s="264">
        <v>69606633698</v>
      </c>
      <c r="DD28" s="264">
        <v>725</v>
      </c>
    </row>
    <row r="29" spans="1:108" x14ac:dyDescent="0.25">
      <c r="B29" s="181" t="s">
        <v>230</v>
      </c>
      <c r="C29" s="184">
        <v>44221</v>
      </c>
      <c r="D29" s="181">
        <v>143155.42628878</v>
      </c>
      <c r="E29" s="212">
        <v>1</v>
      </c>
      <c r="F29" s="198"/>
      <c r="G29" s="212" t="s">
        <v>55</v>
      </c>
      <c r="H29" s="212">
        <v>65431.159094989998</v>
      </c>
      <c r="I29" s="158"/>
      <c r="J29" s="152"/>
      <c r="K29" s="220"/>
      <c r="L29" s="217"/>
      <c r="M29" s="217"/>
      <c r="O29" s="230" t="s">
        <v>55</v>
      </c>
      <c r="P29" s="230">
        <v>65475.547606870001</v>
      </c>
      <c r="Q29" s="228"/>
      <c r="S29" s="234"/>
      <c r="T29" s="234"/>
      <c r="U29" s="234"/>
      <c r="V29" s="234"/>
      <c r="W29" s="234"/>
      <c r="X29" s="234"/>
      <c r="Y29" s="234"/>
      <c r="Z29" s="242" t="s">
        <v>653</v>
      </c>
      <c r="AA29" s="242">
        <v>0</v>
      </c>
      <c r="AB29" s="242">
        <v>0</v>
      </c>
      <c r="AC29" s="242">
        <v>0</v>
      </c>
      <c r="AD29" s="242">
        <v>0</v>
      </c>
      <c r="AE29" s="242">
        <v>0</v>
      </c>
      <c r="AF29" s="242"/>
      <c r="AG29" s="242" t="s">
        <v>667</v>
      </c>
      <c r="AH29" s="242">
        <v>0</v>
      </c>
      <c r="AI29" s="242">
        <v>0</v>
      </c>
      <c r="AJ29" s="242">
        <v>0</v>
      </c>
      <c r="AK29" s="242">
        <v>0</v>
      </c>
      <c r="AL29" s="242">
        <v>0</v>
      </c>
      <c r="AM29" s="234"/>
      <c r="AN29" s="242" t="s">
        <v>668</v>
      </c>
      <c r="AO29" s="242">
        <v>0</v>
      </c>
      <c r="AP29" s="242">
        <v>0</v>
      </c>
      <c r="AQ29" s="242">
        <v>0</v>
      </c>
      <c r="AR29" s="242">
        <v>0</v>
      </c>
      <c r="AS29" s="242">
        <v>0</v>
      </c>
      <c r="AT29" s="234"/>
      <c r="AU29" s="242" t="s">
        <v>668</v>
      </c>
      <c r="AV29" s="242">
        <v>0</v>
      </c>
      <c r="AW29" s="242">
        <v>0</v>
      </c>
      <c r="AX29" s="242">
        <v>0</v>
      </c>
      <c r="AY29" s="242">
        <v>0</v>
      </c>
      <c r="AZ29" s="242">
        <v>0</v>
      </c>
      <c r="BA29" s="234"/>
      <c r="BB29" s="242" t="s">
        <v>667</v>
      </c>
      <c r="BC29" s="242">
        <v>0</v>
      </c>
      <c r="BD29" s="242">
        <v>0</v>
      </c>
      <c r="BE29" s="242">
        <v>0</v>
      </c>
      <c r="BF29" s="242">
        <v>0</v>
      </c>
      <c r="BG29" s="242">
        <v>0</v>
      </c>
      <c r="BH29" s="236" t="s">
        <v>667</v>
      </c>
      <c r="BI29" s="242">
        <v>0</v>
      </c>
      <c r="BJ29" s="242">
        <v>0</v>
      </c>
      <c r="BK29" s="242">
        <v>0</v>
      </c>
      <c r="BL29" s="242">
        <v>0</v>
      </c>
      <c r="BM29" s="242">
        <v>0</v>
      </c>
      <c r="BN29" s="242"/>
      <c r="BO29" s="236"/>
      <c r="BP29" s="252">
        <v>103702</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2021</v>
      </c>
      <c r="CT29" s="264">
        <v>22</v>
      </c>
      <c r="CU29" s="264" t="s">
        <v>713</v>
      </c>
      <c r="CV29" s="264">
        <v>-699641406823.7998</v>
      </c>
      <c r="CW29" s="264">
        <v>-680941093184</v>
      </c>
      <c r="CX29" s="264">
        <v>2318</v>
      </c>
      <c r="CY29" s="264">
        <v>84320451176.630005</v>
      </c>
      <c r="CZ29" s="264">
        <v>92822920016</v>
      </c>
      <c r="DA29" s="264">
        <v>680</v>
      </c>
      <c r="DB29" s="264">
        <v>783961858000.42993</v>
      </c>
      <c r="DC29" s="264">
        <v>773764013200</v>
      </c>
      <c r="DD29" s="264">
        <v>1638</v>
      </c>
    </row>
    <row r="30" spans="1:108" x14ac:dyDescent="0.25">
      <c r="B30" s="181" t="s">
        <v>234</v>
      </c>
      <c r="C30" s="184">
        <v>38716</v>
      </c>
      <c r="D30" s="181">
        <v>14859.1</v>
      </c>
      <c r="E30" s="212">
        <v>1</v>
      </c>
      <c r="F30" s="198"/>
      <c r="G30" s="212" t="s">
        <v>44</v>
      </c>
      <c r="H30" s="212">
        <v>80893.664215800003</v>
      </c>
      <c r="I30" s="158"/>
      <c r="J30" s="152"/>
      <c r="K30" s="220"/>
      <c r="L30" s="217"/>
      <c r="M30" s="217"/>
      <c r="O30" s="230" t="s">
        <v>44</v>
      </c>
      <c r="P30" s="230">
        <v>81996.024007760003</v>
      </c>
      <c r="Q30" s="228"/>
      <c r="S30" s="243"/>
      <c r="T30" s="246"/>
      <c r="U30" s="246"/>
      <c r="V30" s="246"/>
      <c r="W30" s="246"/>
      <c r="X30" s="246"/>
      <c r="Y30" s="234"/>
      <c r="Z30" s="242" t="s">
        <v>653</v>
      </c>
      <c r="AA30" s="242">
        <v>43919180</v>
      </c>
      <c r="AB30" s="242">
        <v>147</v>
      </c>
      <c r="AC30" s="242">
        <v>37</v>
      </c>
      <c r="AD30" s="242">
        <v>4539</v>
      </c>
      <c r="AE30" s="242">
        <v>1</v>
      </c>
      <c r="AF30" s="242"/>
      <c r="AG30" s="242" t="s">
        <v>668</v>
      </c>
      <c r="AH30" s="242">
        <v>0</v>
      </c>
      <c r="AI30" s="242">
        <v>0</v>
      </c>
      <c r="AJ30" s="242">
        <v>0</v>
      </c>
      <c r="AK30" s="242">
        <v>0</v>
      </c>
      <c r="AL30" s="242">
        <v>0</v>
      </c>
      <c r="AM30" s="234"/>
      <c r="AN30" s="242" t="s">
        <v>669</v>
      </c>
      <c r="AO30" s="242">
        <v>8087616.1900000004</v>
      </c>
      <c r="AP30" s="242">
        <v>958</v>
      </c>
      <c r="AQ30" s="242">
        <v>155</v>
      </c>
      <c r="AR30" s="242">
        <v>43717</v>
      </c>
      <c r="AS30" s="242">
        <v>0</v>
      </c>
      <c r="AT30" s="234"/>
      <c r="AU30" s="242" t="s">
        <v>669</v>
      </c>
      <c r="AV30" s="242">
        <v>0</v>
      </c>
      <c r="AW30" s="242">
        <v>0</v>
      </c>
      <c r="AX30" s="242">
        <v>0</v>
      </c>
      <c r="AY30" s="242">
        <v>1035</v>
      </c>
      <c r="AZ30" s="242">
        <v>0</v>
      </c>
      <c r="BA30" s="234"/>
      <c r="BB30" s="242" t="s">
        <v>668</v>
      </c>
      <c r="BC30" s="242">
        <v>0</v>
      </c>
      <c r="BD30" s="242">
        <v>0</v>
      </c>
      <c r="BE30" s="242">
        <v>0</v>
      </c>
      <c r="BF30" s="242">
        <v>0</v>
      </c>
      <c r="BG30" s="242">
        <v>0</v>
      </c>
      <c r="BH30" s="236" t="s">
        <v>668</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2021</v>
      </c>
      <c r="CT30" s="264">
        <v>22</v>
      </c>
      <c r="CU30" s="264" t="s">
        <v>714</v>
      </c>
      <c r="CV30" s="264">
        <v>653386129297.5199</v>
      </c>
      <c r="CW30" s="264">
        <v>636570094595</v>
      </c>
      <c r="CX30" s="264">
        <v>2213</v>
      </c>
      <c r="CY30" s="264">
        <v>733358658608.24988</v>
      </c>
      <c r="CZ30" s="264">
        <v>725463014595</v>
      </c>
      <c r="DA30" s="264">
        <v>1561</v>
      </c>
      <c r="DB30" s="264">
        <v>79972529310.730011</v>
      </c>
      <c r="DC30" s="264">
        <v>88892920000</v>
      </c>
      <c r="DD30" s="264">
        <v>652</v>
      </c>
    </row>
    <row r="31" spans="1:108" x14ac:dyDescent="0.25">
      <c r="B31" s="181" t="s">
        <v>239</v>
      </c>
      <c r="C31" s="184">
        <v>38713</v>
      </c>
      <c r="D31" s="181">
        <v>14630.23</v>
      </c>
      <c r="E31" s="212">
        <v>1</v>
      </c>
      <c r="F31" s="203"/>
      <c r="G31" s="212" t="s">
        <v>46</v>
      </c>
      <c r="H31" s="212">
        <v>70158.416844499996</v>
      </c>
      <c r="I31" s="158"/>
      <c r="J31" s="153"/>
      <c r="K31" s="218"/>
      <c r="L31" s="217"/>
      <c r="M31" s="217"/>
      <c r="O31" s="230" t="s">
        <v>46</v>
      </c>
      <c r="P31" s="230">
        <v>70996.820072589995</v>
      </c>
      <c r="Q31" s="228"/>
      <c r="R31" s="152"/>
      <c r="S31" s="242"/>
      <c r="T31" s="247"/>
      <c r="U31" s="247"/>
      <c r="V31" s="247"/>
      <c r="W31" s="247"/>
      <c r="X31" s="247"/>
      <c r="Y31" s="234"/>
      <c r="Z31" s="242" t="s">
        <v>654</v>
      </c>
      <c r="AA31" s="242">
        <v>0</v>
      </c>
      <c r="AB31" s="242">
        <v>0</v>
      </c>
      <c r="AC31" s="242">
        <v>0</v>
      </c>
      <c r="AD31" s="242">
        <v>0</v>
      </c>
      <c r="AE31" s="242">
        <v>0</v>
      </c>
      <c r="AF31" s="242"/>
      <c r="AG31" s="242" t="s">
        <v>669</v>
      </c>
      <c r="AH31" s="242">
        <v>2468844.4</v>
      </c>
      <c r="AI31" s="242">
        <v>250</v>
      </c>
      <c r="AJ31" s="242">
        <v>6</v>
      </c>
      <c r="AK31" s="242">
        <v>1255</v>
      </c>
      <c r="AL31" s="242">
        <v>0</v>
      </c>
      <c r="AM31" s="234"/>
      <c r="AN31" s="242" t="s">
        <v>670</v>
      </c>
      <c r="AO31" s="242">
        <v>0</v>
      </c>
      <c r="AP31" s="242">
        <v>0</v>
      </c>
      <c r="AQ31" s="242">
        <v>0</v>
      </c>
      <c r="AR31" s="242">
        <v>0</v>
      </c>
      <c r="AS31" s="242">
        <v>0</v>
      </c>
      <c r="AT31" s="234"/>
      <c r="AU31" s="242" t="s">
        <v>670</v>
      </c>
      <c r="AV31" s="242">
        <v>0</v>
      </c>
      <c r="AW31" s="242">
        <v>0</v>
      </c>
      <c r="AX31" s="242">
        <v>0</v>
      </c>
      <c r="AY31" s="242">
        <v>0</v>
      </c>
      <c r="AZ31" s="242">
        <v>0</v>
      </c>
      <c r="BA31" s="234"/>
      <c r="BB31" s="242" t="s">
        <v>669</v>
      </c>
      <c r="BC31" s="242">
        <v>35287569</v>
      </c>
      <c r="BD31" s="242">
        <v>2908</v>
      </c>
      <c r="BE31" s="242">
        <v>58</v>
      </c>
      <c r="BF31" s="242">
        <v>66272</v>
      </c>
      <c r="BG31" s="242">
        <v>0</v>
      </c>
      <c r="BH31" s="236" t="s">
        <v>669</v>
      </c>
      <c r="BI31" s="242">
        <v>61627</v>
      </c>
      <c r="BJ31" s="242">
        <v>4</v>
      </c>
      <c r="BK31" s="242">
        <v>3</v>
      </c>
      <c r="BL31" s="242">
        <v>3827</v>
      </c>
      <c r="BM31" s="242">
        <v>0</v>
      </c>
      <c r="BN31" s="242"/>
      <c r="BO31" s="245" t="s">
        <v>440</v>
      </c>
      <c r="BP31" s="253" t="s">
        <v>528</v>
      </c>
      <c r="BQ31" s="253" t="s">
        <v>635</v>
      </c>
      <c r="BR31" s="253" t="s">
        <v>636</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2021</v>
      </c>
      <c r="CT31" s="264">
        <v>239</v>
      </c>
      <c r="CU31" s="264" t="s">
        <v>715</v>
      </c>
      <c r="CV31" s="264">
        <v>-40795047491.28997</v>
      </c>
      <c r="CW31" s="264">
        <v>-41301205294</v>
      </c>
      <c r="CX31" s="264">
        <v>2958</v>
      </c>
      <c r="CY31" s="264">
        <v>62216148108.950012</v>
      </c>
      <c r="CZ31" s="264">
        <v>63522449916</v>
      </c>
      <c r="DA31" s="264">
        <v>1424</v>
      </c>
      <c r="DB31" s="264">
        <v>103011195600.24004</v>
      </c>
      <c r="DC31" s="264">
        <v>104823655210</v>
      </c>
      <c r="DD31" s="264">
        <v>1534</v>
      </c>
    </row>
    <row r="32" spans="1:108" x14ac:dyDescent="0.25">
      <c r="B32" s="181" t="s">
        <v>257</v>
      </c>
      <c r="C32" s="184">
        <v>44263</v>
      </c>
      <c r="D32" s="181">
        <v>67897.783925569995</v>
      </c>
      <c r="E32" s="212">
        <v>1</v>
      </c>
      <c r="F32" s="198"/>
      <c r="G32" s="212" t="s">
        <v>42</v>
      </c>
      <c r="H32" s="212">
        <v>72094.865317410004</v>
      </c>
      <c r="I32" s="158"/>
      <c r="J32" s="152"/>
      <c r="K32" s="218"/>
      <c r="L32" s="217"/>
      <c r="M32" s="217"/>
      <c r="O32" s="230" t="s">
        <v>42</v>
      </c>
      <c r="P32" s="230">
        <v>72438.250301570006</v>
      </c>
      <c r="Q32" s="228"/>
      <c r="R32" s="152"/>
      <c r="S32" s="242"/>
      <c r="T32" s="247"/>
      <c r="U32" s="247"/>
      <c r="V32" s="247"/>
      <c r="W32" s="247"/>
      <c r="X32" s="247"/>
      <c r="Y32" s="234"/>
      <c r="Z32" s="242" t="s">
        <v>654</v>
      </c>
      <c r="AA32" s="242">
        <v>37276130</v>
      </c>
      <c r="AB32" s="242">
        <v>201</v>
      </c>
      <c r="AC32" s="242">
        <v>35</v>
      </c>
      <c r="AD32" s="242">
        <v>1703</v>
      </c>
      <c r="AE32" s="242">
        <v>1</v>
      </c>
      <c r="AF32" s="242"/>
      <c r="AG32" s="242" t="s">
        <v>670</v>
      </c>
      <c r="AH32" s="242">
        <v>0</v>
      </c>
      <c r="AI32" s="242">
        <v>0</v>
      </c>
      <c r="AJ32" s="242">
        <v>0</v>
      </c>
      <c r="AK32" s="242">
        <v>0</v>
      </c>
      <c r="AL32" s="242">
        <v>0</v>
      </c>
      <c r="AM32" s="234"/>
      <c r="AN32" s="242" t="s">
        <v>671</v>
      </c>
      <c r="AO32" s="242">
        <v>0</v>
      </c>
      <c r="AP32" s="242">
        <v>0</v>
      </c>
      <c r="AQ32" s="242">
        <v>0</v>
      </c>
      <c r="AR32" s="242">
        <v>0</v>
      </c>
      <c r="AS32" s="242">
        <v>0</v>
      </c>
      <c r="AT32" s="234"/>
      <c r="AU32" s="242" t="s">
        <v>671</v>
      </c>
      <c r="AV32" s="242">
        <v>0</v>
      </c>
      <c r="AW32" s="242">
        <v>0</v>
      </c>
      <c r="AX32" s="242">
        <v>0</v>
      </c>
      <c r="AY32" s="242">
        <v>0</v>
      </c>
      <c r="AZ32" s="242">
        <v>0</v>
      </c>
      <c r="BA32" s="234"/>
      <c r="BB32" s="242" t="s">
        <v>670</v>
      </c>
      <c r="BC32" s="242">
        <v>0</v>
      </c>
      <c r="BD32" s="242">
        <v>0</v>
      </c>
      <c r="BE32" s="242">
        <v>0</v>
      </c>
      <c r="BF32" s="242">
        <v>0</v>
      </c>
      <c r="BG32" s="242">
        <v>0</v>
      </c>
      <c r="BH32" s="236" t="s">
        <v>670</v>
      </c>
      <c r="BI32" s="242">
        <v>0</v>
      </c>
      <c r="BJ32" s="242">
        <v>0</v>
      </c>
      <c r="BK32" s="242">
        <v>0</v>
      </c>
      <c r="BL32" s="242">
        <v>0</v>
      </c>
      <c r="BM32" s="242">
        <v>0</v>
      </c>
      <c r="BN32" s="242"/>
      <c r="BO32" s="234"/>
      <c r="BP32" s="252">
        <v>583690265483.89001</v>
      </c>
      <c r="BQ32" s="252">
        <v>5763446</v>
      </c>
      <c r="BR32" s="252">
        <v>5950</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2021</v>
      </c>
      <c r="CT32" s="264">
        <v>94</v>
      </c>
      <c r="CU32" s="264" t="s">
        <v>716</v>
      </c>
      <c r="CV32" s="264">
        <v>11004200377.589981</v>
      </c>
      <c r="CW32" s="264">
        <v>11409479371</v>
      </c>
      <c r="CX32" s="264">
        <v>12328</v>
      </c>
      <c r="CY32" s="264">
        <v>453843069400.06976</v>
      </c>
      <c r="CZ32" s="264">
        <v>467921622557</v>
      </c>
      <c r="DA32" s="264">
        <v>6155</v>
      </c>
      <c r="DB32" s="264">
        <v>442838869022.47986</v>
      </c>
      <c r="DC32" s="264">
        <v>456512143186</v>
      </c>
      <c r="DD32" s="264">
        <v>6173</v>
      </c>
    </row>
    <row r="33" spans="1:108" x14ac:dyDescent="0.25">
      <c r="B33" s="181" t="s">
        <v>624</v>
      </c>
      <c r="C33" s="184">
        <v>42118</v>
      </c>
      <c r="D33" s="181">
        <v>1315.36</v>
      </c>
      <c r="E33" s="212">
        <v>1</v>
      </c>
      <c r="F33" s="199"/>
      <c r="G33" s="212" t="s">
        <v>48</v>
      </c>
      <c r="H33" s="212">
        <v>8500.1240269400005</v>
      </c>
      <c r="I33" s="158"/>
      <c r="J33" s="152"/>
      <c r="K33" s="217"/>
      <c r="L33" s="217"/>
      <c r="M33" s="217"/>
      <c r="O33" s="230" t="s">
        <v>48</v>
      </c>
      <c r="P33" s="230">
        <v>8633.4329530699997</v>
      </c>
      <c r="Q33" s="228"/>
      <c r="R33" s="148" t="s">
        <v>424</v>
      </c>
      <c r="S33" s="242"/>
      <c r="T33" s="247"/>
      <c r="U33" s="247"/>
      <c r="V33" s="247"/>
      <c r="W33" s="247"/>
      <c r="X33" s="247"/>
      <c r="Y33" s="234"/>
      <c r="Z33" s="242" t="s">
        <v>655</v>
      </c>
      <c r="AA33" s="242">
        <v>0</v>
      </c>
      <c r="AB33" s="242">
        <v>0</v>
      </c>
      <c r="AC33" s="242">
        <v>0</v>
      </c>
      <c r="AD33" s="242">
        <v>0</v>
      </c>
      <c r="AE33" s="242">
        <v>0</v>
      </c>
      <c r="AF33" s="242"/>
      <c r="AG33" s="242" t="s">
        <v>671</v>
      </c>
      <c r="AH33" s="242">
        <v>0</v>
      </c>
      <c r="AI33" s="242">
        <v>0</v>
      </c>
      <c r="AJ33" s="242">
        <v>0</v>
      </c>
      <c r="AK33" s="242">
        <v>0</v>
      </c>
      <c r="AL33" s="242">
        <v>0</v>
      </c>
      <c r="AM33" s="234"/>
      <c r="AN33" s="242" t="s">
        <v>672</v>
      </c>
      <c r="AO33" s="242">
        <v>0</v>
      </c>
      <c r="AP33" s="242">
        <v>0</v>
      </c>
      <c r="AQ33" s="242">
        <v>0</v>
      </c>
      <c r="AR33" s="242">
        <v>0</v>
      </c>
      <c r="AS33" s="242">
        <v>0</v>
      </c>
      <c r="AT33" s="234"/>
      <c r="AU33" s="242" t="s">
        <v>672</v>
      </c>
      <c r="AV33" s="242">
        <v>0</v>
      </c>
      <c r="AW33" s="242">
        <v>0</v>
      </c>
      <c r="AX33" s="242">
        <v>0</v>
      </c>
      <c r="AY33" s="242">
        <v>0</v>
      </c>
      <c r="AZ33" s="242">
        <v>0</v>
      </c>
      <c r="BA33" s="234"/>
      <c r="BB33" s="242" t="s">
        <v>671</v>
      </c>
      <c r="BC33" s="242">
        <v>0</v>
      </c>
      <c r="BD33" s="242">
        <v>0</v>
      </c>
      <c r="BE33" s="242">
        <v>0</v>
      </c>
      <c r="BF33" s="242">
        <v>0</v>
      </c>
      <c r="BG33" s="242">
        <v>0</v>
      </c>
      <c r="BH33" s="236" t="s">
        <v>671</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2021</v>
      </c>
      <c r="CT33" s="264">
        <v>21</v>
      </c>
      <c r="CU33" s="264" t="s">
        <v>717</v>
      </c>
      <c r="CV33" s="264">
        <v>9178568030.170002</v>
      </c>
      <c r="CW33" s="264">
        <v>8379776253</v>
      </c>
      <c r="CX33" s="264">
        <v>144</v>
      </c>
      <c r="CY33" s="264">
        <v>22743249679.870003</v>
      </c>
      <c r="CZ33" s="264">
        <v>22546868752</v>
      </c>
      <c r="DA33" s="264">
        <v>67</v>
      </c>
      <c r="DB33" s="264">
        <v>13564681649.700001</v>
      </c>
      <c r="DC33" s="264">
        <v>14167092499</v>
      </c>
      <c r="DD33" s="264">
        <v>77</v>
      </c>
    </row>
    <row r="34" spans="1:108" x14ac:dyDescent="0.25">
      <c r="B34" s="181" t="s">
        <v>537</v>
      </c>
      <c r="C34" s="184">
        <v>44622</v>
      </c>
      <c r="D34" s="181">
        <v>79589.859015099995</v>
      </c>
      <c r="E34" s="212">
        <v>1</v>
      </c>
      <c r="F34" s="199"/>
      <c r="G34" s="212" t="s">
        <v>537</v>
      </c>
      <c r="H34" s="212">
        <v>72378.095649149996</v>
      </c>
      <c r="I34" s="158"/>
      <c r="J34" s="152"/>
      <c r="K34" s="217"/>
      <c r="L34" s="217"/>
      <c r="M34" s="217"/>
      <c r="O34" s="230" t="s">
        <v>537</v>
      </c>
      <c r="P34" s="230">
        <v>72513.773067269998</v>
      </c>
      <c r="Q34" s="228"/>
      <c r="R34" s="152"/>
      <c r="S34" s="242"/>
      <c r="T34" s="247"/>
      <c r="U34" s="247"/>
      <c r="V34" s="247"/>
      <c r="W34" s="247"/>
      <c r="X34" s="247"/>
      <c r="Y34" s="234"/>
      <c r="Z34" s="242" t="s">
        <v>655</v>
      </c>
      <c r="AA34" s="242">
        <v>1104641733.6500001</v>
      </c>
      <c r="AB34" s="242">
        <v>2991</v>
      </c>
      <c r="AC34" s="242">
        <v>449</v>
      </c>
      <c r="AD34" s="242">
        <v>35453</v>
      </c>
      <c r="AE34" s="242">
        <v>1</v>
      </c>
      <c r="AF34" s="242"/>
      <c r="AG34" s="242" t="s">
        <v>672</v>
      </c>
      <c r="AH34" s="242">
        <v>0</v>
      </c>
      <c r="AI34" s="242">
        <v>0</v>
      </c>
      <c r="AJ34" s="242">
        <v>0</v>
      </c>
      <c r="AK34" s="242">
        <v>0</v>
      </c>
      <c r="AL34" s="242">
        <v>0</v>
      </c>
      <c r="AM34" s="234"/>
      <c r="AN34" s="242" t="s">
        <v>673</v>
      </c>
      <c r="AO34" s="242">
        <v>0</v>
      </c>
      <c r="AP34" s="242">
        <v>0</v>
      </c>
      <c r="AQ34" s="242">
        <v>0</v>
      </c>
      <c r="AR34" s="242">
        <v>0</v>
      </c>
      <c r="AS34" s="242">
        <v>0</v>
      </c>
      <c r="AT34" s="234"/>
      <c r="AU34" s="242" t="s">
        <v>673</v>
      </c>
      <c r="AV34" s="242">
        <v>0</v>
      </c>
      <c r="AW34" s="242">
        <v>0</v>
      </c>
      <c r="AX34" s="242">
        <v>0</v>
      </c>
      <c r="AY34" s="242">
        <v>0</v>
      </c>
      <c r="AZ34" s="242">
        <v>0</v>
      </c>
      <c r="BA34" s="234"/>
      <c r="BB34" s="242" t="s">
        <v>672</v>
      </c>
      <c r="BC34" s="242">
        <v>0</v>
      </c>
      <c r="BD34" s="242">
        <v>0</v>
      </c>
      <c r="BE34" s="242">
        <v>0</v>
      </c>
      <c r="BF34" s="242">
        <v>0</v>
      </c>
      <c r="BG34" s="242">
        <v>0</v>
      </c>
      <c r="BH34" s="236" t="s">
        <v>672</v>
      </c>
      <c r="BI34" s="242">
        <v>0</v>
      </c>
      <c r="BJ34" s="242">
        <v>0</v>
      </c>
      <c r="BK34" s="242">
        <v>0</v>
      </c>
      <c r="BL34" s="242">
        <v>0</v>
      </c>
      <c r="BM34" s="242">
        <v>0</v>
      </c>
      <c r="BN34" s="242"/>
      <c r="BO34" s="245" t="s">
        <v>451</v>
      </c>
      <c r="BP34" s="253" t="s">
        <v>528</v>
      </c>
      <c r="BQ34" s="253" t="s">
        <v>635</v>
      </c>
      <c r="BR34" s="253" t="s">
        <v>636</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64</v>
      </c>
      <c r="C35" s="184">
        <v>44565</v>
      </c>
      <c r="D35" s="181">
        <v>97184.191844369998</v>
      </c>
      <c r="E35" s="212">
        <v>1</v>
      </c>
      <c r="F35" s="215"/>
      <c r="G35" s="212" t="s">
        <v>538</v>
      </c>
      <c r="H35" s="212">
        <v>69817.343070570001</v>
      </c>
      <c r="I35" s="158"/>
      <c r="J35" s="152"/>
      <c r="K35" s="217"/>
      <c r="L35" s="217"/>
      <c r="M35" s="217"/>
      <c r="O35" s="230" t="s">
        <v>538</v>
      </c>
      <c r="P35" s="230">
        <v>70125.167862739996</v>
      </c>
      <c r="Q35" s="228"/>
      <c r="R35" s="152"/>
      <c r="S35" s="242"/>
      <c r="T35" s="247"/>
      <c r="U35" s="247"/>
      <c r="V35" s="247"/>
      <c r="W35" s="247"/>
      <c r="X35" s="247"/>
      <c r="Y35" s="234"/>
      <c r="Z35" s="242" t="s">
        <v>656</v>
      </c>
      <c r="AA35" s="242">
        <v>0</v>
      </c>
      <c r="AB35" s="242">
        <v>0</v>
      </c>
      <c r="AC35" s="242">
        <v>0</v>
      </c>
      <c r="AD35" s="242">
        <v>0</v>
      </c>
      <c r="AE35" s="242">
        <v>0</v>
      </c>
      <c r="AF35" s="242"/>
      <c r="AG35" s="242" t="s">
        <v>673</v>
      </c>
      <c r="AH35" s="242">
        <v>0</v>
      </c>
      <c r="AI35" s="242">
        <v>0</v>
      </c>
      <c r="AJ35" s="242">
        <v>0</v>
      </c>
      <c r="AK35" s="242">
        <v>0</v>
      </c>
      <c r="AL35" s="242">
        <v>0</v>
      </c>
      <c r="AM35" s="234"/>
      <c r="AN35" s="242" t="s">
        <v>674</v>
      </c>
      <c r="AO35" s="242">
        <v>0</v>
      </c>
      <c r="AP35" s="242">
        <v>0</v>
      </c>
      <c r="AQ35" s="242">
        <v>0</v>
      </c>
      <c r="AR35" s="242">
        <v>0</v>
      </c>
      <c r="AS35" s="242">
        <v>0</v>
      </c>
      <c r="AT35" s="234"/>
      <c r="AU35" s="242" t="s">
        <v>674</v>
      </c>
      <c r="AV35" s="242">
        <v>0</v>
      </c>
      <c r="AW35" s="242">
        <v>0</v>
      </c>
      <c r="AX35" s="242">
        <v>0</v>
      </c>
      <c r="AY35" s="242">
        <v>0</v>
      </c>
      <c r="AZ35" s="242">
        <v>0</v>
      </c>
      <c r="BA35" s="234"/>
      <c r="BB35" s="242" t="s">
        <v>673</v>
      </c>
      <c r="BC35" s="242">
        <v>0</v>
      </c>
      <c r="BD35" s="242">
        <v>0</v>
      </c>
      <c r="BE35" s="242">
        <v>0</v>
      </c>
      <c r="BF35" s="242">
        <v>0</v>
      </c>
      <c r="BG35" s="242">
        <v>0</v>
      </c>
      <c r="BH35" s="236" t="s">
        <v>673</v>
      </c>
      <c r="BI35" s="242">
        <v>0</v>
      </c>
      <c r="BJ35" s="242">
        <v>0</v>
      </c>
      <c r="BK35" s="242">
        <v>0</v>
      </c>
      <c r="BL35" s="242">
        <v>0</v>
      </c>
      <c r="BM35" s="242">
        <v>0</v>
      </c>
      <c r="BN35" s="242"/>
      <c r="BO35" s="240"/>
      <c r="BP35" s="252">
        <v>367275671.63999999</v>
      </c>
      <c r="BQ35" s="252">
        <v>226957</v>
      </c>
      <c r="BR35" s="252">
        <v>334</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273</v>
      </c>
      <c r="C36" s="184">
        <v>41009</v>
      </c>
      <c r="D36" s="181">
        <v>91356.97</v>
      </c>
      <c r="E36" s="212">
        <v>1</v>
      </c>
      <c r="F36" s="199"/>
      <c r="G36" s="212" t="s">
        <v>258</v>
      </c>
      <c r="H36" s="212">
        <v>4513.31764277</v>
      </c>
      <c r="I36" s="158"/>
      <c r="J36" s="152"/>
      <c r="K36" s="217"/>
      <c r="L36" s="217"/>
      <c r="M36" s="217"/>
      <c r="O36" s="230" t="s">
        <v>258</v>
      </c>
      <c r="P36" s="230">
        <v>4449.9883788200004</v>
      </c>
      <c r="Q36" s="228"/>
      <c r="R36" s="152"/>
      <c r="S36" s="242"/>
      <c r="T36" s="247"/>
      <c r="U36" s="247"/>
      <c r="V36" s="247"/>
      <c r="W36" s="247"/>
      <c r="X36" s="247"/>
      <c r="Y36" s="234"/>
      <c r="Z36" s="242" t="s">
        <v>656</v>
      </c>
      <c r="AA36" s="242">
        <v>0</v>
      </c>
      <c r="AB36" s="242">
        <v>0</v>
      </c>
      <c r="AC36" s="242">
        <v>0</v>
      </c>
      <c r="AD36" s="242">
        <v>0</v>
      </c>
      <c r="AE36" s="242">
        <v>1</v>
      </c>
      <c r="AF36" s="242"/>
      <c r="AG36" s="242" t="s">
        <v>674</v>
      </c>
      <c r="AH36" s="242">
        <v>0</v>
      </c>
      <c r="AI36" s="242">
        <v>0</v>
      </c>
      <c r="AJ36" s="242">
        <v>0</v>
      </c>
      <c r="AK36" s="242">
        <v>0</v>
      </c>
      <c r="AL36" s="242">
        <v>0</v>
      </c>
      <c r="AM36" s="234"/>
      <c r="AN36" s="242" t="s">
        <v>675</v>
      </c>
      <c r="AO36" s="242">
        <v>2842112</v>
      </c>
      <c r="AP36" s="242">
        <v>147</v>
      </c>
      <c r="AQ36" s="242">
        <v>26</v>
      </c>
      <c r="AR36" s="242">
        <v>22747</v>
      </c>
      <c r="AS36" s="242">
        <v>0</v>
      </c>
      <c r="AT36" s="234"/>
      <c r="AU36" s="242" t="s">
        <v>675</v>
      </c>
      <c r="AV36" s="242">
        <v>0</v>
      </c>
      <c r="AW36" s="242">
        <v>0</v>
      </c>
      <c r="AX36" s="242">
        <v>0</v>
      </c>
      <c r="AY36" s="242">
        <v>903</v>
      </c>
      <c r="AZ36" s="242">
        <v>0</v>
      </c>
      <c r="BA36" s="234"/>
      <c r="BB36" s="242" t="s">
        <v>674</v>
      </c>
      <c r="BC36" s="242">
        <v>0</v>
      </c>
      <c r="BD36" s="242">
        <v>0</v>
      </c>
      <c r="BE36" s="242">
        <v>0</v>
      </c>
      <c r="BF36" s="242">
        <v>0</v>
      </c>
      <c r="BG36" s="242">
        <v>0</v>
      </c>
      <c r="BH36" s="236" t="s">
        <v>674</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282</v>
      </c>
      <c r="C37" s="184">
        <v>41689</v>
      </c>
      <c r="D37" s="181">
        <v>10314.608568510001</v>
      </c>
      <c r="E37" s="212">
        <v>1</v>
      </c>
      <c r="F37" s="203"/>
      <c r="G37" s="212" t="s">
        <v>60</v>
      </c>
      <c r="H37" s="212">
        <v>76947.982727809998</v>
      </c>
      <c r="I37" s="158"/>
      <c r="J37" s="152"/>
      <c r="K37" s="217"/>
      <c r="L37" s="217"/>
      <c r="M37" s="217"/>
      <c r="O37" s="230" t="s">
        <v>60</v>
      </c>
      <c r="P37" s="230">
        <v>77198.270836490003</v>
      </c>
      <c r="Q37" s="228"/>
      <c r="R37" s="152"/>
      <c r="S37" s="242"/>
      <c r="T37" s="247"/>
      <c r="U37" s="247"/>
      <c r="V37" s="247"/>
      <c r="W37" s="247"/>
      <c r="X37" s="247"/>
      <c r="Y37" s="234"/>
      <c r="Z37" s="242" t="s">
        <v>657</v>
      </c>
      <c r="AA37" s="242">
        <v>0</v>
      </c>
      <c r="AB37" s="242">
        <v>0</v>
      </c>
      <c r="AC37" s="242">
        <v>0</v>
      </c>
      <c r="AD37" s="242">
        <v>0</v>
      </c>
      <c r="AE37" s="242">
        <v>0</v>
      </c>
      <c r="AF37" s="242"/>
      <c r="AG37" s="242" t="s">
        <v>675</v>
      </c>
      <c r="AH37" s="242">
        <v>0</v>
      </c>
      <c r="AI37" s="242">
        <v>0</v>
      </c>
      <c r="AJ37" s="242">
        <v>0</v>
      </c>
      <c r="AK37" s="242">
        <v>999</v>
      </c>
      <c r="AL37" s="242">
        <v>0</v>
      </c>
      <c r="AM37" s="234"/>
      <c r="AN37" s="242" t="s">
        <v>676</v>
      </c>
      <c r="AO37" s="242">
        <v>152518159.56999999</v>
      </c>
      <c r="AP37" s="242">
        <v>10045</v>
      </c>
      <c r="AQ37" s="242">
        <v>841</v>
      </c>
      <c r="AR37" s="242">
        <v>338891</v>
      </c>
      <c r="AS37" s="242">
        <v>0</v>
      </c>
      <c r="AT37" s="234"/>
      <c r="AU37" s="242" t="s">
        <v>676</v>
      </c>
      <c r="AV37" s="242">
        <v>22779320.109999999</v>
      </c>
      <c r="AW37" s="242">
        <v>853</v>
      </c>
      <c r="AX37" s="242">
        <v>138</v>
      </c>
      <c r="AY37" s="242">
        <v>20886</v>
      </c>
      <c r="AZ37" s="242">
        <v>0</v>
      </c>
      <c r="BA37" s="234"/>
      <c r="BB37" s="242" t="s">
        <v>675</v>
      </c>
      <c r="BC37" s="242">
        <v>2274325</v>
      </c>
      <c r="BD37" s="242">
        <v>302</v>
      </c>
      <c r="BE37" s="242">
        <v>5</v>
      </c>
      <c r="BF37" s="242">
        <v>48539</v>
      </c>
      <c r="BG37" s="242">
        <v>0</v>
      </c>
      <c r="BH37" s="236" t="s">
        <v>675</v>
      </c>
      <c r="BI37" s="242">
        <v>0</v>
      </c>
      <c r="BJ37" s="242">
        <v>0</v>
      </c>
      <c r="BK37" s="242">
        <v>0</v>
      </c>
      <c r="BL37" s="242">
        <v>2313</v>
      </c>
      <c r="BM37" s="242">
        <v>0</v>
      </c>
      <c r="BN37" s="242"/>
      <c r="BO37" s="245" t="s">
        <v>443</v>
      </c>
      <c r="BP37" s="253" t="s">
        <v>528</v>
      </c>
      <c r="BQ37" s="253" t="s">
        <v>635</v>
      </c>
      <c r="BR37" s="253" t="s">
        <v>636</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540</v>
      </c>
      <c r="C38" s="184">
        <v>44622</v>
      </c>
      <c r="D38" s="181">
        <v>21479.340230559999</v>
      </c>
      <c r="E38" s="212">
        <v>1</v>
      </c>
      <c r="F38" s="203"/>
      <c r="G38" s="212" t="s">
        <v>64</v>
      </c>
      <c r="H38" s="212">
        <v>78302.281779190002</v>
      </c>
      <c r="I38" s="158"/>
      <c r="J38" s="152"/>
      <c r="K38" s="217"/>
      <c r="L38" s="217"/>
      <c r="M38" s="217"/>
      <c r="O38" s="230" t="s">
        <v>64</v>
      </c>
      <c r="P38" s="230">
        <v>80198.497133669996</v>
      </c>
      <c r="Q38" s="228"/>
      <c r="R38" s="152"/>
      <c r="S38" s="242"/>
      <c r="T38" s="247"/>
      <c r="U38" s="247"/>
      <c r="V38" s="247"/>
      <c r="W38" s="247"/>
      <c r="X38" s="247"/>
      <c r="Y38" s="234"/>
      <c r="Z38" s="242" t="s">
        <v>657</v>
      </c>
      <c r="AA38" s="242">
        <v>3850624</v>
      </c>
      <c r="AB38" s="242">
        <v>47</v>
      </c>
      <c r="AC38" s="242">
        <v>10</v>
      </c>
      <c r="AD38" s="242">
        <v>1042</v>
      </c>
      <c r="AE38" s="242">
        <v>1</v>
      </c>
      <c r="AF38" s="242"/>
      <c r="AG38" s="242" t="s">
        <v>676</v>
      </c>
      <c r="AH38" s="242">
        <v>16434936.699999999</v>
      </c>
      <c r="AI38" s="242">
        <v>889</v>
      </c>
      <c r="AJ38" s="242">
        <v>15</v>
      </c>
      <c r="AK38" s="242">
        <v>23840</v>
      </c>
      <c r="AL38" s="242">
        <v>0</v>
      </c>
      <c r="AM38" s="234"/>
      <c r="AN38" s="242" t="s">
        <v>678</v>
      </c>
      <c r="AO38" s="242">
        <v>67904446.560000002</v>
      </c>
      <c r="AP38" s="242">
        <v>4675</v>
      </c>
      <c r="AQ38" s="242">
        <v>407</v>
      </c>
      <c r="AR38" s="242">
        <v>271087</v>
      </c>
      <c r="AS38" s="242">
        <v>0</v>
      </c>
      <c r="AT38" s="234"/>
      <c r="AU38" s="242" t="s">
        <v>678</v>
      </c>
      <c r="AV38" s="242">
        <v>13853118.460000001</v>
      </c>
      <c r="AW38" s="242">
        <v>800</v>
      </c>
      <c r="AX38" s="242">
        <v>88</v>
      </c>
      <c r="AY38" s="242">
        <v>15435</v>
      </c>
      <c r="AZ38" s="242">
        <v>0</v>
      </c>
      <c r="BA38" s="234"/>
      <c r="BB38" s="242" t="s">
        <v>676</v>
      </c>
      <c r="BC38" s="242">
        <v>694263608.16999996</v>
      </c>
      <c r="BD38" s="242">
        <v>17887</v>
      </c>
      <c r="BE38" s="242">
        <v>1865</v>
      </c>
      <c r="BF38" s="242">
        <v>503728</v>
      </c>
      <c r="BG38" s="242">
        <v>0</v>
      </c>
      <c r="BH38" s="236" t="s">
        <v>676</v>
      </c>
      <c r="BI38" s="242">
        <v>4789548.5</v>
      </c>
      <c r="BJ38" s="242">
        <v>594</v>
      </c>
      <c r="BK38" s="242">
        <v>71</v>
      </c>
      <c r="BL38" s="242">
        <v>26651</v>
      </c>
      <c r="BM38" s="242">
        <v>0</v>
      </c>
      <c r="BN38" s="242"/>
      <c r="BO38" s="236"/>
      <c r="BP38" s="252">
        <v>594143646873.65002</v>
      </c>
      <c r="BQ38" s="252">
        <v>5844419</v>
      </c>
      <c r="BR38" s="252">
        <v>5470</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625</v>
      </c>
      <c r="C39" s="184">
        <v>44244</v>
      </c>
      <c r="D39" s="181">
        <v>27908.368237300001</v>
      </c>
      <c r="E39" s="212">
        <v>1</v>
      </c>
      <c r="F39" s="203"/>
      <c r="G39" s="212" t="s">
        <v>66</v>
      </c>
      <c r="H39" s="212">
        <v>16987.58038811</v>
      </c>
      <c r="I39" s="158"/>
      <c r="J39" s="152"/>
      <c r="K39" s="217"/>
      <c r="L39" s="217"/>
      <c r="M39" s="217"/>
      <c r="O39" s="230" t="s">
        <v>66</v>
      </c>
      <c r="P39" s="230">
        <v>16309.41885297</v>
      </c>
      <c r="Q39" s="228"/>
      <c r="R39" s="152"/>
      <c r="S39" s="242"/>
      <c r="T39" s="247"/>
      <c r="U39" s="247"/>
      <c r="V39" s="247"/>
      <c r="W39" s="247"/>
      <c r="X39" s="247"/>
      <c r="Y39" s="234"/>
      <c r="Z39" s="242" t="s">
        <v>658</v>
      </c>
      <c r="AA39" s="242">
        <v>0</v>
      </c>
      <c r="AB39" s="242">
        <v>0</v>
      </c>
      <c r="AC39" s="242">
        <v>0</v>
      </c>
      <c r="AD39" s="242">
        <v>0</v>
      </c>
      <c r="AE39" s="242">
        <v>0</v>
      </c>
      <c r="AF39" s="242"/>
      <c r="AG39" s="242" t="s">
        <v>677</v>
      </c>
      <c r="AH39" s="242">
        <v>0</v>
      </c>
      <c r="AI39" s="242">
        <v>0</v>
      </c>
      <c r="AJ39" s="242">
        <v>0</v>
      </c>
      <c r="AK39" s="242">
        <v>0</v>
      </c>
      <c r="AL39" s="242">
        <v>0</v>
      </c>
      <c r="AM39" s="234"/>
      <c r="AN39" s="242" t="s">
        <v>639</v>
      </c>
      <c r="AO39" s="242">
        <v>242050</v>
      </c>
      <c r="AP39" s="242">
        <v>4</v>
      </c>
      <c r="AQ39" s="242">
        <v>3</v>
      </c>
      <c r="AR39" s="242">
        <v>13</v>
      </c>
      <c r="AS39" s="242">
        <v>1</v>
      </c>
      <c r="AT39" s="234"/>
      <c r="AU39" s="242" t="s">
        <v>639</v>
      </c>
      <c r="AV39" s="242">
        <v>0</v>
      </c>
      <c r="AW39" s="242">
        <v>0</v>
      </c>
      <c r="AX39" s="242">
        <v>0</v>
      </c>
      <c r="AY39" s="242">
        <v>1</v>
      </c>
      <c r="AZ39" s="242">
        <v>1</v>
      </c>
      <c r="BA39" s="234"/>
      <c r="BB39" s="242" t="s">
        <v>677</v>
      </c>
      <c r="BC39" s="242">
        <v>0</v>
      </c>
      <c r="BD39" s="242">
        <v>0</v>
      </c>
      <c r="BE39" s="242">
        <v>0</v>
      </c>
      <c r="BF39" s="242">
        <v>0</v>
      </c>
      <c r="BG39" s="242">
        <v>0</v>
      </c>
      <c r="BH39" s="236" t="s">
        <v>677</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294</v>
      </c>
      <c r="C40" s="184">
        <v>39381</v>
      </c>
      <c r="D40" s="181">
        <v>31088.74</v>
      </c>
      <c r="E40" s="212">
        <v>1</v>
      </c>
      <c r="F40" s="203"/>
      <c r="G40" s="212" t="s">
        <v>68</v>
      </c>
      <c r="H40" s="212">
        <v>84308.815543189994</v>
      </c>
      <c r="I40" s="158"/>
      <c r="J40" s="152"/>
      <c r="K40" s="217"/>
      <c r="L40" s="217"/>
      <c r="M40" s="217"/>
      <c r="O40" s="230" t="s">
        <v>68</v>
      </c>
      <c r="P40" s="230">
        <v>84226.462320260005</v>
      </c>
      <c r="Q40" s="228"/>
      <c r="R40" s="152"/>
      <c r="S40" s="242"/>
      <c r="T40" s="247"/>
      <c r="U40" s="247"/>
      <c r="V40" s="247"/>
      <c r="W40" s="247"/>
      <c r="X40" s="247"/>
      <c r="Y40" s="234"/>
      <c r="Z40" s="242" t="s">
        <v>658</v>
      </c>
      <c r="AA40" s="242">
        <v>644970</v>
      </c>
      <c r="AB40" s="242">
        <v>2</v>
      </c>
      <c r="AC40" s="242">
        <v>2</v>
      </c>
      <c r="AD40" s="242">
        <v>66</v>
      </c>
      <c r="AE40" s="242">
        <v>1</v>
      </c>
      <c r="AF40" s="242"/>
      <c r="AG40" s="242" t="s">
        <v>678</v>
      </c>
      <c r="AH40" s="242">
        <v>5654403</v>
      </c>
      <c r="AI40" s="242">
        <v>161</v>
      </c>
      <c r="AJ40" s="242">
        <v>15</v>
      </c>
      <c r="AK40" s="242">
        <v>15486</v>
      </c>
      <c r="AL40" s="242">
        <v>0</v>
      </c>
      <c r="AM40" s="234"/>
      <c r="AN40" s="242" t="s">
        <v>640</v>
      </c>
      <c r="AO40" s="242">
        <v>10613206216.879999</v>
      </c>
      <c r="AP40" s="242">
        <v>29974</v>
      </c>
      <c r="AQ40" s="242">
        <v>4735</v>
      </c>
      <c r="AR40" s="242">
        <v>377057</v>
      </c>
      <c r="AS40" s="242">
        <v>1</v>
      </c>
      <c r="AT40" s="234"/>
      <c r="AU40" s="242" t="s">
        <v>640</v>
      </c>
      <c r="AV40" s="242">
        <v>536760566.36000001</v>
      </c>
      <c r="AW40" s="242">
        <v>1441</v>
      </c>
      <c r="AX40" s="242">
        <v>217</v>
      </c>
      <c r="AY40" s="242">
        <v>19873</v>
      </c>
      <c r="AZ40" s="242">
        <v>1</v>
      </c>
      <c r="BA40" s="234"/>
      <c r="BB40" s="242" t="s">
        <v>678</v>
      </c>
      <c r="BC40" s="242">
        <v>587901558.08000004</v>
      </c>
      <c r="BD40" s="242">
        <v>20357</v>
      </c>
      <c r="BE40" s="242">
        <v>982</v>
      </c>
      <c r="BF40" s="242">
        <v>479719</v>
      </c>
      <c r="BG40" s="242">
        <v>0</v>
      </c>
      <c r="BH40" s="236" t="s">
        <v>678</v>
      </c>
      <c r="BI40" s="242">
        <v>38073047.600000001</v>
      </c>
      <c r="BJ40" s="242">
        <v>1967</v>
      </c>
      <c r="BK40" s="242">
        <v>60</v>
      </c>
      <c r="BL40" s="242">
        <v>23819</v>
      </c>
      <c r="BM40" s="242">
        <v>0</v>
      </c>
      <c r="BN40" s="242"/>
      <c r="BO40" s="245" t="s">
        <v>444</v>
      </c>
      <c r="BP40" s="253" t="s">
        <v>528</v>
      </c>
      <c r="BQ40" s="253" t="s">
        <v>635</v>
      </c>
      <c r="BR40" s="253" t="s">
        <v>636</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76</v>
      </c>
      <c r="C41" s="184">
        <v>39381</v>
      </c>
      <c r="D41" s="181">
        <v>35813.949999999997</v>
      </c>
      <c r="E41" s="212">
        <v>1</v>
      </c>
      <c r="F41" s="203"/>
      <c r="G41" s="212" t="s">
        <v>105</v>
      </c>
      <c r="H41" s="212">
        <v>1312.5627228799999</v>
      </c>
      <c r="I41" s="158"/>
      <c r="J41" s="152"/>
      <c r="K41" s="217"/>
      <c r="L41" s="217"/>
      <c r="M41" s="217"/>
      <c r="O41" s="230" t="s">
        <v>105</v>
      </c>
      <c r="P41" s="230">
        <v>1404.54648266</v>
      </c>
      <c r="Q41" s="228"/>
      <c r="R41" s="152"/>
      <c r="S41" s="242"/>
      <c r="T41" s="247"/>
      <c r="U41" s="247"/>
      <c r="V41" s="247"/>
      <c r="W41" s="247"/>
      <c r="X41" s="247"/>
      <c r="Y41" s="234"/>
      <c r="Z41" s="242" t="s">
        <v>659</v>
      </c>
      <c r="AA41" s="242">
        <v>0</v>
      </c>
      <c r="AB41" s="242">
        <v>0</v>
      </c>
      <c r="AC41" s="242">
        <v>0</v>
      </c>
      <c r="AD41" s="242">
        <v>0</v>
      </c>
      <c r="AE41" s="242">
        <v>0</v>
      </c>
      <c r="AF41" s="242"/>
      <c r="AG41" s="242" t="s">
        <v>679</v>
      </c>
      <c r="AH41" s="242">
        <v>0</v>
      </c>
      <c r="AI41" s="242">
        <v>0</v>
      </c>
      <c r="AJ41" s="242">
        <v>0</v>
      </c>
      <c r="AK41" s="242">
        <v>0</v>
      </c>
      <c r="AL41" s="242">
        <v>0</v>
      </c>
      <c r="AM41" s="234"/>
      <c r="AN41" s="242" t="s">
        <v>641</v>
      </c>
      <c r="AO41" s="242">
        <v>5581800</v>
      </c>
      <c r="AP41" s="242">
        <v>36</v>
      </c>
      <c r="AQ41" s="242">
        <v>19</v>
      </c>
      <c r="AR41" s="242">
        <v>665</v>
      </c>
      <c r="AS41" s="242">
        <v>1</v>
      </c>
      <c r="AT41" s="234"/>
      <c r="AU41" s="242" t="s">
        <v>641</v>
      </c>
      <c r="AV41" s="242">
        <v>0</v>
      </c>
      <c r="AW41" s="242">
        <v>0</v>
      </c>
      <c r="AX41" s="242">
        <v>0</v>
      </c>
      <c r="AY41" s="242">
        <v>33</v>
      </c>
      <c r="AZ41" s="242">
        <v>1</v>
      </c>
      <c r="BA41" s="234"/>
      <c r="BB41" s="242" t="s">
        <v>679</v>
      </c>
      <c r="BC41" s="242">
        <v>0</v>
      </c>
      <c r="BD41" s="242">
        <v>0</v>
      </c>
      <c r="BE41" s="242">
        <v>0</v>
      </c>
      <c r="BF41" s="242">
        <v>0</v>
      </c>
      <c r="BG41" s="242">
        <v>0</v>
      </c>
      <c r="BH41" s="236" t="s">
        <v>679</v>
      </c>
      <c r="BI41" s="242">
        <v>0</v>
      </c>
      <c r="BJ41" s="242">
        <v>0</v>
      </c>
      <c r="BK41" s="242">
        <v>0</v>
      </c>
      <c r="BL41" s="242">
        <v>0</v>
      </c>
      <c r="BM41" s="242">
        <v>0</v>
      </c>
      <c r="BN41" s="242"/>
      <c r="BO41" s="234"/>
      <c r="BP41" s="252">
        <v>536802717.32999998</v>
      </c>
      <c r="BQ41" s="252">
        <v>285653</v>
      </c>
      <c r="BR41" s="252">
        <v>585</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82</v>
      </c>
      <c r="C42" s="184">
        <v>39381</v>
      </c>
      <c r="D42" s="181">
        <v>65291.38</v>
      </c>
      <c r="E42" s="212">
        <v>1</v>
      </c>
      <c r="F42" s="203"/>
      <c r="G42" s="212" t="s">
        <v>259</v>
      </c>
      <c r="H42" s="212">
        <v>894.75132867000002</v>
      </c>
      <c r="I42" s="158"/>
      <c r="J42" s="152"/>
      <c r="K42" s="217"/>
      <c r="L42" s="217"/>
      <c r="M42" s="217"/>
      <c r="O42" s="230" t="s">
        <v>259</v>
      </c>
      <c r="P42" s="230">
        <v>983.78848434999998</v>
      </c>
      <c r="Q42" s="228"/>
      <c r="R42" s="152"/>
      <c r="S42" s="242"/>
      <c r="T42" s="247"/>
      <c r="U42" s="247"/>
      <c r="V42" s="247"/>
      <c r="W42" s="247"/>
      <c r="X42" s="247"/>
      <c r="Y42" s="234"/>
      <c r="Z42" s="242" t="s">
        <v>659</v>
      </c>
      <c r="AA42" s="242">
        <v>20477495</v>
      </c>
      <c r="AB42" s="242">
        <v>98</v>
      </c>
      <c r="AC42" s="242">
        <v>7</v>
      </c>
      <c r="AD42" s="242">
        <v>175</v>
      </c>
      <c r="AE42" s="242">
        <v>1</v>
      </c>
      <c r="AF42" s="242"/>
      <c r="AG42" s="242" t="s">
        <v>639</v>
      </c>
      <c r="AH42" s="242">
        <v>0</v>
      </c>
      <c r="AI42" s="242">
        <v>0</v>
      </c>
      <c r="AJ42" s="242">
        <v>0</v>
      </c>
      <c r="AK42" s="242">
        <v>0</v>
      </c>
      <c r="AL42" s="242">
        <v>1</v>
      </c>
      <c r="AM42" s="234"/>
      <c r="AN42" s="242" t="s">
        <v>642</v>
      </c>
      <c r="AO42" s="242">
        <v>33481111.5</v>
      </c>
      <c r="AP42" s="242">
        <v>329</v>
      </c>
      <c r="AQ42" s="242">
        <v>31</v>
      </c>
      <c r="AR42" s="242">
        <v>9488</v>
      </c>
      <c r="AS42" s="242">
        <v>1</v>
      </c>
      <c r="AT42" s="234"/>
      <c r="AU42" s="242" t="s">
        <v>642</v>
      </c>
      <c r="AV42" s="242">
        <v>108000</v>
      </c>
      <c r="AW42" s="242">
        <v>1</v>
      </c>
      <c r="AX42" s="242">
        <v>1</v>
      </c>
      <c r="AY42" s="242">
        <v>560</v>
      </c>
      <c r="AZ42" s="242">
        <v>1</v>
      </c>
      <c r="BA42" s="234"/>
      <c r="BB42" s="242" t="s">
        <v>640</v>
      </c>
      <c r="BC42" s="242">
        <v>7503509705.2749996</v>
      </c>
      <c r="BD42" s="242">
        <v>29311</v>
      </c>
      <c r="BE42" s="242">
        <v>4353</v>
      </c>
      <c r="BF42" s="242">
        <v>250678</v>
      </c>
      <c r="BG42" s="242">
        <v>1</v>
      </c>
      <c r="BH42" s="236" t="s">
        <v>640</v>
      </c>
      <c r="BI42" s="242">
        <v>122469029.985</v>
      </c>
      <c r="BJ42" s="242">
        <v>474</v>
      </c>
      <c r="BK42" s="242">
        <v>31</v>
      </c>
      <c r="BL42" s="242">
        <v>11177</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299</v>
      </c>
      <c r="C43" s="184">
        <v>41887</v>
      </c>
      <c r="D43" s="181">
        <v>417.67220522999997</v>
      </c>
      <c r="E43" s="212">
        <v>1</v>
      </c>
      <c r="F43" s="203"/>
      <c r="G43" s="212" t="s">
        <v>265</v>
      </c>
      <c r="H43" s="212">
        <v>8307.1338013700006</v>
      </c>
      <c r="I43" s="158"/>
      <c r="J43" s="152"/>
      <c r="K43" s="217"/>
      <c r="L43" s="217"/>
      <c r="M43" s="217"/>
      <c r="O43" s="230" t="s">
        <v>265</v>
      </c>
      <c r="P43" s="230">
        <v>8341.0484766200007</v>
      </c>
      <c r="Q43" s="228"/>
      <c r="S43" s="234"/>
      <c r="T43" s="234"/>
      <c r="U43" s="234"/>
      <c r="V43" s="234"/>
      <c r="W43" s="234"/>
      <c r="X43" s="234"/>
      <c r="Y43" s="234"/>
      <c r="Z43" s="242" t="s">
        <v>660</v>
      </c>
      <c r="AA43" s="242">
        <v>0</v>
      </c>
      <c r="AB43" s="242">
        <v>0</v>
      </c>
      <c r="AC43" s="242">
        <v>0</v>
      </c>
      <c r="AD43" s="242">
        <v>0</v>
      </c>
      <c r="AE43" s="242">
        <v>0</v>
      </c>
      <c r="AF43" s="242"/>
      <c r="AG43" s="242" t="s">
        <v>640</v>
      </c>
      <c r="AH43" s="242">
        <v>494629589.78500003</v>
      </c>
      <c r="AI43" s="242">
        <v>1238</v>
      </c>
      <c r="AJ43" s="242">
        <v>219</v>
      </c>
      <c r="AK43" s="242">
        <v>16944</v>
      </c>
      <c r="AL43" s="242">
        <v>1</v>
      </c>
      <c r="AM43" s="234"/>
      <c r="AN43" s="242" t="s">
        <v>643</v>
      </c>
      <c r="AO43" s="242">
        <v>18737870.004999999</v>
      </c>
      <c r="AP43" s="242">
        <v>716</v>
      </c>
      <c r="AQ43" s="242">
        <v>5</v>
      </c>
      <c r="AR43" s="242">
        <v>6488</v>
      </c>
      <c r="AS43" s="242">
        <v>1</v>
      </c>
      <c r="AT43" s="234"/>
      <c r="AU43" s="242" t="s">
        <v>643</v>
      </c>
      <c r="AV43" s="242">
        <v>0</v>
      </c>
      <c r="AW43" s="242">
        <v>0</v>
      </c>
      <c r="AX43" s="242">
        <v>0</v>
      </c>
      <c r="AY43" s="242">
        <v>373</v>
      </c>
      <c r="AZ43" s="242">
        <v>1</v>
      </c>
      <c r="BA43" s="234"/>
      <c r="BB43" s="242" t="s">
        <v>641</v>
      </c>
      <c r="BC43" s="242">
        <v>585740</v>
      </c>
      <c r="BD43" s="242">
        <v>6</v>
      </c>
      <c r="BE43" s="242">
        <v>6</v>
      </c>
      <c r="BF43" s="242">
        <v>882</v>
      </c>
      <c r="BG43" s="242">
        <v>1</v>
      </c>
      <c r="BH43" s="236" t="s">
        <v>641</v>
      </c>
      <c r="BI43" s="242">
        <v>0</v>
      </c>
      <c r="BJ43" s="242">
        <v>0</v>
      </c>
      <c r="BK43" s="242">
        <v>0</v>
      </c>
      <c r="BL43" s="242">
        <v>42</v>
      </c>
      <c r="BM43" s="242">
        <v>1</v>
      </c>
      <c r="BN43" s="242"/>
      <c r="BO43" s="241" t="s">
        <v>458</v>
      </c>
      <c r="BP43" s="253" t="s">
        <v>637</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301</v>
      </c>
      <c r="C44" s="184">
        <v>43587</v>
      </c>
      <c r="D44" s="181">
        <v>89801.649796929996</v>
      </c>
      <c r="E44" s="212">
        <v>1</v>
      </c>
      <c r="F44" s="198"/>
      <c r="G44" s="212" t="s">
        <v>266</v>
      </c>
      <c r="H44" s="212">
        <v>995.99238350999997</v>
      </c>
      <c r="I44" s="158"/>
      <c r="J44" s="152"/>
      <c r="K44" s="217"/>
      <c r="L44" s="217"/>
      <c r="M44" s="217"/>
      <c r="O44" s="230" t="s">
        <v>266</v>
      </c>
      <c r="P44" s="230">
        <v>1017.56879112</v>
      </c>
      <c r="Q44" s="228"/>
      <c r="S44" s="234"/>
      <c r="T44" s="234"/>
      <c r="U44" s="234"/>
      <c r="V44" s="234"/>
      <c r="W44" s="234"/>
      <c r="X44" s="234"/>
      <c r="Y44" s="234"/>
      <c r="Z44" s="242" t="s">
        <v>660</v>
      </c>
      <c r="AA44" s="242">
        <v>1529640</v>
      </c>
      <c r="AB44" s="242">
        <v>10</v>
      </c>
      <c r="AC44" s="242">
        <v>8</v>
      </c>
      <c r="AD44" s="242">
        <v>1497</v>
      </c>
      <c r="AE44" s="242">
        <v>1</v>
      </c>
      <c r="AF44" s="242"/>
      <c r="AG44" s="242" t="s">
        <v>641</v>
      </c>
      <c r="AH44" s="242">
        <v>186500</v>
      </c>
      <c r="AI44" s="242">
        <v>1</v>
      </c>
      <c r="AJ44" s="242">
        <v>1</v>
      </c>
      <c r="AK44" s="242">
        <v>26</v>
      </c>
      <c r="AL44" s="242">
        <v>1</v>
      </c>
      <c r="AM44" s="234"/>
      <c r="AN44" s="242" t="s">
        <v>644</v>
      </c>
      <c r="AO44" s="242">
        <v>6207712.5</v>
      </c>
      <c r="AP44" s="242">
        <v>73</v>
      </c>
      <c r="AQ44" s="242">
        <v>36</v>
      </c>
      <c r="AR44" s="242">
        <v>1050</v>
      </c>
      <c r="AS44" s="242">
        <v>1</v>
      </c>
      <c r="AT44" s="234"/>
      <c r="AU44" s="242" t="s">
        <v>644</v>
      </c>
      <c r="AV44" s="242">
        <v>0</v>
      </c>
      <c r="AW44" s="242">
        <v>0</v>
      </c>
      <c r="AX44" s="242">
        <v>0</v>
      </c>
      <c r="AY44" s="242">
        <v>88</v>
      </c>
      <c r="AZ44" s="242">
        <v>1</v>
      </c>
      <c r="BA44" s="234"/>
      <c r="BB44" s="242" t="s">
        <v>642</v>
      </c>
      <c r="BC44" s="242">
        <v>28856361.199999999</v>
      </c>
      <c r="BD44" s="242">
        <v>430</v>
      </c>
      <c r="BE44" s="242">
        <v>29</v>
      </c>
      <c r="BF44" s="242">
        <v>32060</v>
      </c>
      <c r="BG44" s="242">
        <v>1</v>
      </c>
      <c r="BH44" s="236" t="s">
        <v>642</v>
      </c>
      <c r="BI44" s="242">
        <v>0</v>
      </c>
      <c r="BJ44" s="242">
        <v>0</v>
      </c>
      <c r="BK44" s="242">
        <v>0</v>
      </c>
      <c r="BL44" s="242">
        <v>1536</v>
      </c>
      <c r="BM44" s="242">
        <v>1</v>
      </c>
      <c r="BN44" s="242"/>
      <c r="BO44" s="236"/>
      <c r="BP44" s="252">
        <v>1021720</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546</v>
      </c>
      <c r="C45" s="184">
        <v>44622</v>
      </c>
      <c r="D45" s="181">
        <v>21479.340230559999</v>
      </c>
      <c r="E45" s="212">
        <v>1</v>
      </c>
      <c r="F45" s="199"/>
      <c r="G45" s="212" t="s">
        <v>90</v>
      </c>
      <c r="H45" s="212">
        <v>326.50271143999998</v>
      </c>
      <c r="I45" s="158"/>
      <c r="J45" s="152"/>
      <c r="K45" s="217"/>
      <c r="L45" s="217"/>
      <c r="M45" s="217"/>
      <c r="O45" s="230" t="s">
        <v>90</v>
      </c>
      <c r="P45" s="230">
        <v>327.54336826000002</v>
      </c>
      <c r="Q45" s="228"/>
      <c r="S45" s="243"/>
      <c r="T45" s="246"/>
      <c r="U45" s="246"/>
      <c r="V45" s="246"/>
      <c r="W45" s="246"/>
      <c r="X45" s="246"/>
      <c r="Y45" s="234"/>
      <c r="Z45" s="242" t="s">
        <v>661</v>
      </c>
      <c r="AA45" s="242">
        <v>0</v>
      </c>
      <c r="AB45" s="242">
        <v>0</v>
      </c>
      <c r="AC45" s="242">
        <v>0</v>
      </c>
      <c r="AD45" s="242">
        <v>0</v>
      </c>
      <c r="AE45" s="242">
        <v>0</v>
      </c>
      <c r="AF45" s="242"/>
      <c r="AG45" s="242" t="s">
        <v>642</v>
      </c>
      <c r="AH45" s="242">
        <v>3592669</v>
      </c>
      <c r="AI45" s="242">
        <v>32</v>
      </c>
      <c r="AJ45" s="242">
        <v>3</v>
      </c>
      <c r="AK45" s="242">
        <v>340</v>
      </c>
      <c r="AL45" s="242">
        <v>1</v>
      </c>
      <c r="AM45" s="234"/>
      <c r="AN45" s="242" t="s">
        <v>645</v>
      </c>
      <c r="AO45" s="242">
        <v>1737625</v>
      </c>
      <c r="AP45" s="242">
        <v>10</v>
      </c>
      <c r="AQ45" s="242">
        <v>4</v>
      </c>
      <c r="AR45" s="242">
        <v>795</v>
      </c>
      <c r="AS45" s="242">
        <v>1</v>
      </c>
      <c r="AT45" s="234"/>
      <c r="AU45" s="242" t="s">
        <v>645</v>
      </c>
      <c r="AV45" s="242">
        <v>0</v>
      </c>
      <c r="AW45" s="242">
        <v>0</v>
      </c>
      <c r="AX45" s="242">
        <v>0</v>
      </c>
      <c r="AY45" s="242">
        <v>46</v>
      </c>
      <c r="AZ45" s="242">
        <v>1</v>
      </c>
      <c r="BA45" s="234"/>
      <c r="BB45" s="242" t="s">
        <v>643</v>
      </c>
      <c r="BC45" s="242">
        <v>1514950</v>
      </c>
      <c r="BD45" s="242">
        <v>60</v>
      </c>
      <c r="BE45" s="242">
        <v>4</v>
      </c>
      <c r="BF45" s="242">
        <v>105</v>
      </c>
      <c r="BG45" s="242">
        <v>1</v>
      </c>
      <c r="BH45" s="236" t="s">
        <v>643</v>
      </c>
      <c r="BI45" s="242">
        <v>0</v>
      </c>
      <c r="BJ45" s="242">
        <v>0</v>
      </c>
      <c r="BK45" s="242">
        <v>0</v>
      </c>
      <c r="BL45" s="242">
        <v>0</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547</v>
      </c>
      <c r="C46" s="184">
        <v>44622</v>
      </c>
      <c r="D46" s="181">
        <v>22183.396664169999</v>
      </c>
      <c r="E46" s="212">
        <v>1</v>
      </c>
      <c r="F46" s="205"/>
      <c r="G46" s="212" t="s">
        <v>92</v>
      </c>
      <c r="H46" s="212">
        <v>240.52694152000001</v>
      </c>
      <c r="I46" s="158"/>
      <c r="J46" s="152"/>
      <c r="K46" s="217"/>
      <c r="L46" s="217"/>
      <c r="M46" s="217"/>
      <c r="O46" s="230" t="s">
        <v>92</v>
      </c>
      <c r="P46" s="230">
        <v>242.02059460000001</v>
      </c>
      <c r="Q46" s="228"/>
      <c r="S46" s="242"/>
      <c r="T46" s="247"/>
      <c r="U46" s="247"/>
      <c r="V46" s="247"/>
      <c r="W46" s="247"/>
      <c r="X46" s="247"/>
      <c r="Y46" s="234"/>
      <c r="Z46" s="242" t="s">
        <v>661</v>
      </c>
      <c r="AA46" s="242">
        <v>13405780.039999999</v>
      </c>
      <c r="AB46" s="242">
        <v>137</v>
      </c>
      <c r="AC46" s="242">
        <v>20</v>
      </c>
      <c r="AD46" s="242">
        <v>782</v>
      </c>
      <c r="AE46" s="242">
        <v>1</v>
      </c>
      <c r="AF46" s="242"/>
      <c r="AG46" s="242" t="s">
        <v>643</v>
      </c>
      <c r="AH46" s="242">
        <v>0</v>
      </c>
      <c r="AI46" s="242">
        <v>0</v>
      </c>
      <c r="AJ46" s="242">
        <v>0</v>
      </c>
      <c r="AK46" s="242">
        <v>0</v>
      </c>
      <c r="AL46" s="242">
        <v>1</v>
      </c>
      <c r="AM46" s="234"/>
      <c r="AN46" s="242" t="s">
        <v>646</v>
      </c>
      <c r="AO46" s="242">
        <v>24204913.5</v>
      </c>
      <c r="AP46" s="242">
        <v>208</v>
      </c>
      <c r="AQ46" s="242">
        <v>6</v>
      </c>
      <c r="AR46" s="242">
        <v>1856</v>
      </c>
      <c r="AS46" s="242">
        <v>1</v>
      </c>
      <c r="AT46" s="234"/>
      <c r="AU46" s="242" t="s">
        <v>646</v>
      </c>
      <c r="AV46" s="242">
        <v>2198500</v>
      </c>
      <c r="AW46" s="242">
        <v>20</v>
      </c>
      <c r="AX46" s="242">
        <v>1</v>
      </c>
      <c r="AY46" s="242">
        <v>82</v>
      </c>
      <c r="AZ46" s="242">
        <v>1</v>
      </c>
      <c r="BA46" s="234"/>
      <c r="BB46" s="242" t="s">
        <v>644</v>
      </c>
      <c r="BC46" s="242">
        <v>9580447.5</v>
      </c>
      <c r="BD46" s="242">
        <v>166</v>
      </c>
      <c r="BE46" s="242">
        <v>21</v>
      </c>
      <c r="BF46" s="242">
        <v>728</v>
      </c>
      <c r="BG46" s="242">
        <v>1</v>
      </c>
      <c r="BH46" s="236" t="s">
        <v>644</v>
      </c>
      <c r="BI46" s="242">
        <v>0</v>
      </c>
      <c r="BJ46" s="242">
        <v>0</v>
      </c>
      <c r="BK46" s="242">
        <v>0</v>
      </c>
      <c r="BL46" s="242">
        <v>41</v>
      </c>
      <c r="BM46" s="242">
        <v>1</v>
      </c>
      <c r="BN46" s="242"/>
      <c r="BO46" s="249" t="s">
        <v>459</v>
      </c>
      <c r="BP46" s="253" t="s">
        <v>637</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317</v>
      </c>
      <c r="C47" s="184">
        <v>41065</v>
      </c>
      <c r="D47" s="181">
        <v>1120.92</v>
      </c>
      <c r="E47" s="212">
        <v>1</v>
      </c>
      <c r="F47" s="206"/>
      <c r="G47" s="212" t="s">
        <v>269</v>
      </c>
      <c r="H47" s="212">
        <v>85376.939818889994</v>
      </c>
      <c r="I47" s="158"/>
      <c r="J47" s="154"/>
      <c r="K47" s="217"/>
      <c r="L47" s="217"/>
      <c r="M47" s="217"/>
      <c r="O47" s="230" t="s">
        <v>269</v>
      </c>
      <c r="P47" s="230">
        <v>87282.292220920004</v>
      </c>
      <c r="Q47" s="228"/>
      <c r="S47" s="242"/>
      <c r="T47" s="247"/>
      <c r="U47" s="247"/>
      <c r="V47" s="247"/>
      <c r="W47" s="247"/>
      <c r="X47" s="247"/>
      <c r="Y47" s="234"/>
      <c r="Z47" s="242" t="s">
        <v>662</v>
      </c>
      <c r="AA47" s="242">
        <v>5660200</v>
      </c>
      <c r="AB47" s="242">
        <v>478</v>
      </c>
      <c r="AC47" s="242">
        <v>3</v>
      </c>
      <c r="AD47" s="242">
        <v>3684</v>
      </c>
      <c r="AE47" s="242">
        <v>0</v>
      </c>
      <c r="AF47" s="242"/>
      <c r="AG47" s="242" t="s">
        <v>644</v>
      </c>
      <c r="AH47" s="242">
        <v>171000</v>
      </c>
      <c r="AI47" s="242">
        <v>2</v>
      </c>
      <c r="AJ47" s="242">
        <v>1</v>
      </c>
      <c r="AK47" s="242">
        <v>97</v>
      </c>
      <c r="AL47" s="242">
        <v>1</v>
      </c>
      <c r="AM47" s="234"/>
      <c r="AN47" s="242" t="s">
        <v>647</v>
      </c>
      <c r="AO47" s="242">
        <v>7209594401.6999998</v>
      </c>
      <c r="AP47" s="242">
        <v>16042</v>
      </c>
      <c r="AQ47" s="242">
        <v>1102</v>
      </c>
      <c r="AR47" s="242">
        <v>197072</v>
      </c>
      <c r="AS47" s="242">
        <v>1</v>
      </c>
      <c r="AT47" s="234"/>
      <c r="AU47" s="242" t="s">
        <v>647</v>
      </c>
      <c r="AV47" s="242">
        <v>349788753.54000002</v>
      </c>
      <c r="AW47" s="242">
        <v>702</v>
      </c>
      <c r="AX47" s="242">
        <v>37</v>
      </c>
      <c r="AY47" s="242">
        <v>12362</v>
      </c>
      <c r="AZ47" s="242">
        <v>1</v>
      </c>
      <c r="BA47" s="234"/>
      <c r="BB47" s="242" t="s">
        <v>645</v>
      </c>
      <c r="BC47" s="242">
        <v>0</v>
      </c>
      <c r="BD47" s="242">
        <v>0</v>
      </c>
      <c r="BE47" s="242">
        <v>0</v>
      </c>
      <c r="BF47" s="242">
        <v>1512</v>
      </c>
      <c r="BG47" s="242">
        <v>1</v>
      </c>
      <c r="BH47" s="236" t="s">
        <v>645</v>
      </c>
      <c r="BI47" s="242">
        <v>0</v>
      </c>
      <c r="BJ47" s="242">
        <v>0</v>
      </c>
      <c r="BK47" s="242">
        <v>0</v>
      </c>
      <c r="BL47" s="242">
        <v>72</v>
      </c>
      <c r="BM47" s="242">
        <v>1</v>
      </c>
      <c r="BN47" s="242"/>
      <c r="BO47" s="236"/>
      <c r="BP47" s="252">
        <v>108556</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327</v>
      </c>
      <c r="C48" s="184">
        <v>43126</v>
      </c>
      <c r="D48" s="181">
        <v>25359.33</v>
      </c>
      <c r="E48" s="212">
        <v>1</v>
      </c>
      <c r="F48" s="206"/>
      <c r="G48" s="212" t="s">
        <v>94</v>
      </c>
      <c r="H48" s="212">
        <v>44602.25937218</v>
      </c>
      <c r="I48" s="158"/>
      <c r="J48" s="154"/>
      <c r="K48" s="217"/>
      <c r="L48" s="217"/>
      <c r="M48" s="217"/>
      <c r="O48" s="230" t="s">
        <v>94</v>
      </c>
      <c r="P48" s="230">
        <v>44885.80166307</v>
      </c>
      <c r="Q48" s="228"/>
      <c r="S48" s="242"/>
      <c r="T48" s="247"/>
      <c r="U48" s="247"/>
      <c r="V48" s="247"/>
      <c r="W48" s="247"/>
      <c r="X48" s="247"/>
      <c r="Y48" s="234"/>
      <c r="Z48" s="242" t="s">
        <v>662</v>
      </c>
      <c r="AA48" s="242">
        <v>0</v>
      </c>
      <c r="AB48" s="242">
        <v>0</v>
      </c>
      <c r="AC48" s="242">
        <v>0</v>
      </c>
      <c r="AD48" s="242">
        <v>0</v>
      </c>
      <c r="AE48" s="242">
        <v>1</v>
      </c>
      <c r="AF48" s="242"/>
      <c r="AG48" s="242" t="s">
        <v>645</v>
      </c>
      <c r="AH48" s="242">
        <v>2700000</v>
      </c>
      <c r="AI48" s="242">
        <v>16</v>
      </c>
      <c r="AJ48" s="242">
        <v>1</v>
      </c>
      <c r="AK48" s="242">
        <v>56</v>
      </c>
      <c r="AL48" s="242">
        <v>1</v>
      </c>
      <c r="AM48" s="234"/>
      <c r="AN48" s="242" t="s">
        <v>648</v>
      </c>
      <c r="AO48" s="242">
        <v>104523577.40000001</v>
      </c>
      <c r="AP48" s="242">
        <v>2785</v>
      </c>
      <c r="AQ48" s="242">
        <v>257</v>
      </c>
      <c r="AR48" s="242">
        <v>27494</v>
      </c>
      <c r="AS48" s="242">
        <v>1</v>
      </c>
      <c r="AT48" s="234"/>
      <c r="AU48" s="242" t="s">
        <v>648</v>
      </c>
      <c r="AV48" s="242">
        <v>752625.25</v>
      </c>
      <c r="AW48" s="242">
        <v>20</v>
      </c>
      <c r="AX48" s="242">
        <v>8</v>
      </c>
      <c r="AY48" s="242">
        <v>1516</v>
      </c>
      <c r="AZ48" s="242">
        <v>1</v>
      </c>
      <c r="BA48" s="234"/>
      <c r="BB48" s="242" t="s">
        <v>646</v>
      </c>
      <c r="BC48" s="242">
        <v>14813663.5</v>
      </c>
      <c r="BD48" s="242">
        <v>125</v>
      </c>
      <c r="BE48" s="242">
        <v>24</v>
      </c>
      <c r="BF48" s="242">
        <v>928</v>
      </c>
      <c r="BG48" s="242">
        <v>1</v>
      </c>
      <c r="BH48" s="236" t="s">
        <v>646</v>
      </c>
      <c r="BI48" s="242">
        <v>0</v>
      </c>
      <c r="BJ48" s="242">
        <v>0</v>
      </c>
      <c r="BK48" s="242">
        <v>0</v>
      </c>
      <c r="BL48" s="242">
        <v>57</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328</v>
      </c>
      <c r="C49" s="184">
        <v>41904</v>
      </c>
      <c r="D49" s="181">
        <v>4598.12</v>
      </c>
      <c r="E49" s="212">
        <v>1</v>
      </c>
      <c r="F49" s="206"/>
      <c r="G49" s="212" t="s">
        <v>270</v>
      </c>
      <c r="H49" s="212">
        <v>337.96748951000001</v>
      </c>
      <c r="I49" s="158"/>
      <c r="J49" s="154"/>
      <c r="K49" s="217"/>
      <c r="L49" s="217"/>
      <c r="M49" s="217"/>
      <c r="O49" s="230" t="s">
        <v>270</v>
      </c>
      <c r="P49" s="230">
        <v>336.24818197000002</v>
      </c>
      <c r="Q49" s="228"/>
      <c r="S49" s="242"/>
      <c r="T49" s="247"/>
      <c r="U49" s="247"/>
      <c r="V49" s="247"/>
      <c r="W49" s="247"/>
      <c r="X49" s="247"/>
      <c r="Y49" s="234"/>
      <c r="Z49" s="242" t="s">
        <v>663</v>
      </c>
      <c r="AA49" s="242">
        <v>0</v>
      </c>
      <c r="AB49" s="242">
        <v>0</v>
      </c>
      <c r="AC49" s="242">
        <v>0</v>
      </c>
      <c r="AD49" s="242">
        <v>0</v>
      </c>
      <c r="AE49" s="242">
        <v>0</v>
      </c>
      <c r="AF49" s="242"/>
      <c r="AG49" s="242" t="s">
        <v>646</v>
      </c>
      <c r="AH49" s="242">
        <v>0</v>
      </c>
      <c r="AI49" s="242">
        <v>0</v>
      </c>
      <c r="AJ49" s="242">
        <v>0</v>
      </c>
      <c r="AK49" s="242">
        <v>45</v>
      </c>
      <c r="AL49" s="242">
        <v>1</v>
      </c>
      <c r="AM49" s="234"/>
      <c r="AN49" s="242" t="s">
        <v>649</v>
      </c>
      <c r="AO49" s="242">
        <v>46216724</v>
      </c>
      <c r="AP49" s="242">
        <v>696</v>
      </c>
      <c r="AQ49" s="242">
        <v>12</v>
      </c>
      <c r="AR49" s="242">
        <v>3025</v>
      </c>
      <c r="AS49" s="242">
        <v>1</v>
      </c>
      <c r="AT49" s="234"/>
      <c r="AU49" s="242" t="s">
        <v>649</v>
      </c>
      <c r="AV49" s="242">
        <v>0</v>
      </c>
      <c r="AW49" s="242">
        <v>0</v>
      </c>
      <c r="AX49" s="242">
        <v>0</v>
      </c>
      <c r="AY49" s="242">
        <v>145</v>
      </c>
      <c r="AZ49" s="242">
        <v>1</v>
      </c>
      <c r="BA49" s="234"/>
      <c r="BB49" s="242" t="s">
        <v>647</v>
      </c>
      <c r="BC49" s="242">
        <v>14653986076.950001</v>
      </c>
      <c r="BD49" s="242">
        <v>42005</v>
      </c>
      <c r="BE49" s="242">
        <v>2509</v>
      </c>
      <c r="BF49" s="242">
        <v>464616</v>
      </c>
      <c r="BG49" s="242">
        <v>1</v>
      </c>
      <c r="BH49" s="236" t="s">
        <v>647</v>
      </c>
      <c r="BI49" s="242">
        <v>112034739.97</v>
      </c>
      <c r="BJ49" s="242">
        <v>338</v>
      </c>
      <c r="BK49" s="242">
        <v>76</v>
      </c>
      <c r="BL49" s="242">
        <v>21981</v>
      </c>
      <c r="BM49" s="242">
        <v>1</v>
      </c>
      <c r="BN49" s="242"/>
      <c r="BO49" s="245" t="s">
        <v>461</v>
      </c>
      <c r="BP49" s="253" t="s">
        <v>528</v>
      </c>
      <c r="BQ49" s="253" t="s">
        <v>635</v>
      </c>
      <c r="BR49" s="253" t="s">
        <v>636</v>
      </c>
    </row>
    <row r="50" spans="1:70" x14ac:dyDescent="0.25">
      <c r="B50" s="181" t="s">
        <v>329</v>
      </c>
      <c r="C50" s="184">
        <v>42146</v>
      </c>
      <c r="D50" s="181">
        <v>12996.36</v>
      </c>
      <c r="E50" s="212">
        <v>1</v>
      </c>
      <c r="F50" s="206"/>
      <c r="G50" s="212" t="s">
        <v>279</v>
      </c>
      <c r="H50" s="212">
        <v>20504.916099999999</v>
      </c>
      <c r="I50" s="158"/>
      <c r="J50" s="154"/>
      <c r="K50" s="217"/>
      <c r="L50" s="217"/>
      <c r="M50" s="217"/>
      <c r="O50" s="230" t="s">
        <v>279</v>
      </c>
      <c r="P50" s="230">
        <v>20452.758999999998</v>
      </c>
      <c r="Q50" s="228"/>
      <c r="R50" s="148" t="s">
        <v>425</v>
      </c>
      <c r="S50" s="242"/>
      <c r="T50" s="247"/>
      <c r="U50" s="247"/>
      <c r="V50" s="247"/>
      <c r="W50" s="247"/>
      <c r="X50" s="247"/>
      <c r="Y50" s="234"/>
      <c r="Z50" s="242" t="s">
        <v>663</v>
      </c>
      <c r="AA50" s="242">
        <v>0</v>
      </c>
      <c r="AB50" s="242">
        <v>0</v>
      </c>
      <c r="AC50" s="242">
        <v>0</v>
      </c>
      <c r="AD50" s="242">
        <v>0</v>
      </c>
      <c r="AE50" s="242">
        <v>1</v>
      </c>
      <c r="AF50" s="242"/>
      <c r="AG50" s="242" t="s">
        <v>647</v>
      </c>
      <c r="AH50" s="242">
        <v>351744340.64999998</v>
      </c>
      <c r="AI50" s="242">
        <v>747</v>
      </c>
      <c r="AJ50" s="242">
        <v>169</v>
      </c>
      <c r="AK50" s="242">
        <v>11187</v>
      </c>
      <c r="AL50" s="242">
        <v>1</v>
      </c>
      <c r="AM50" s="234"/>
      <c r="AN50" s="242" t="s">
        <v>650</v>
      </c>
      <c r="AO50" s="242">
        <v>1370960</v>
      </c>
      <c r="AP50" s="242">
        <v>9</v>
      </c>
      <c r="AQ50" s="242">
        <v>3</v>
      </c>
      <c r="AR50" s="242">
        <v>387</v>
      </c>
      <c r="AS50" s="242">
        <v>1</v>
      </c>
      <c r="AT50" s="234"/>
      <c r="AU50" s="242" t="s">
        <v>650</v>
      </c>
      <c r="AV50" s="242">
        <v>0</v>
      </c>
      <c r="AW50" s="242">
        <v>0</v>
      </c>
      <c r="AX50" s="242">
        <v>0</v>
      </c>
      <c r="AY50" s="242">
        <v>16</v>
      </c>
      <c r="AZ50" s="242">
        <v>1</v>
      </c>
      <c r="BA50" s="234"/>
      <c r="BB50" s="242" t="s">
        <v>648</v>
      </c>
      <c r="BC50" s="242">
        <v>34457753.100000001</v>
      </c>
      <c r="BD50" s="242">
        <v>1087</v>
      </c>
      <c r="BE50" s="242">
        <v>85</v>
      </c>
      <c r="BF50" s="242">
        <v>3205</v>
      </c>
      <c r="BG50" s="242">
        <v>1</v>
      </c>
      <c r="BH50" s="236" t="s">
        <v>648</v>
      </c>
      <c r="BI50" s="242">
        <v>0</v>
      </c>
      <c r="BJ50" s="242">
        <v>0</v>
      </c>
      <c r="BK50" s="242">
        <v>0</v>
      </c>
      <c r="BL50" s="242">
        <v>119</v>
      </c>
      <c r="BM50" s="242">
        <v>1</v>
      </c>
      <c r="BN50" s="242"/>
      <c r="BO50" s="236"/>
      <c r="BP50" s="252"/>
      <c r="BQ50" s="252"/>
      <c r="BR50" s="252"/>
    </row>
    <row r="51" spans="1:70" x14ac:dyDescent="0.25">
      <c r="B51" s="181" t="s">
        <v>554</v>
      </c>
      <c r="C51" s="184">
        <v>44657</v>
      </c>
      <c r="D51" s="181">
        <v>3344.4656789300002</v>
      </c>
      <c r="E51" s="212">
        <v>1</v>
      </c>
      <c r="F51" s="203"/>
      <c r="G51" s="212" t="s">
        <v>280</v>
      </c>
      <c r="H51" s="212">
        <v>31047.84156397</v>
      </c>
      <c r="I51" s="158"/>
      <c r="J51" s="152"/>
      <c r="K51" s="217"/>
      <c r="L51" s="217"/>
      <c r="M51" s="217"/>
      <c r="O51" s="230" t="s">
        <v>280</v>
      </c>
      <c r="P51" s="230">
        <v>31078.573869619999</v>
      </c>
      <c r="Q51" s="228"/>
      <c r="S51" s="242"/>
      <c r="T51" s="247"/>
      <c r="U51" s="247"/>
      <c r="V51" s="247"/>
      <c r="W51" s="247"/>
      <c r="X51" s="247"/>
      <c r="Y51" s="234"/>
      <c r="Z51" s="242" t="s">
        <v>664</v>
      </c>
      <c r="AA51" s="242">
        <v>0</v>
      </c>
      <c r="AB51" s="242">
        <v>0</v>
      </c>
      <c r="AC51" s="242">
        <v>0</v>
      </c>
      <c r="AD51" s="242">
        <v>0</v>
      </c>
      <c r="AE51" s="242">
        <v>0</v>
      </c>
      <c r="AF51" s="242"/>
      <c r="AG51" s="242" t="s">
        <v>648</v>
      </c>
      <c r="AH51" s="242">
        <v>2196825</v>
      </c>
      <c r="AI51" s="242">
        <v>60</v>
      </c>
      <c r="AJ51" s="242">
        <v>8</v>
      </c>
      <c r="AK51" s="242">
        <v>788</v>
      </c>
      <c r="AL51" s="242">
        <v>1</v>
      </c>
      <c r="AM51" s="234"/>
      <c r="AN51" s="242" t="s">
        <v>651</v>
      </c>
      <c r="AO51" s="242">
        <v>12166711.5</v>
      </c>
      <c r="AP51" s="242">
        <v>181</v>
      </c>
      <c r="AQ51" s="242">
        <v>23</v>
      </c>
      <c r="AR51" s="242">
        <v>2115</v>
      </c>
      <c r="AS51" s="242">
        <v>1</v>
      </c>
      <c r="AT51" s="234"/>
      <c r="AU51" s="242" t="s">
        <v>651</v>
      </c>
      <c r="AV51" s="242">
        <v>0</v>
      </c>
      <c r="AW51" s="242">
        <v>0</v>
      </c>
      <c r="AX51" s="242">
        <v>0</v>
      </c>
      <c r="AY51" s="242">
        <v>92</v>
      </c>
      <c r="AZ51" s="242">
        <v>1</v>
      </c>
      <c r="BA51" s="234"/>
      <c r="BB51" s="242" t="s">
        <v>649</v>
      </c>
      <c r="BC51" s="242">
        <v>2591275</v>
      </c>
      <c r="BD51" s="242">
        <v>59</v>
      </c>
      <c r="BE51" s="242">
        <v>6</v>
      </c>
      <c r="BF51" s="242">
        <v>183</v>
      </c>
      <c r="BG51" s="242">
        <v>1</v>
      </c>
      <c r="BH51" s="236" t="s">
        <v>649</v>
      </c>
      <c r="BI51" s="242">
        <v>0</v>
      </c>
      <c r="BJ51" s="242">
        <v>0</v>
      </c>
      <c r="BK51" s="242">
        <v>0</v>
      </c>
      <c r="BL51" s="242">
        <v>0</v>
      </c>
      <c r="BM51" s="242">
        <v>1</v>
      </c>
      <c r="BN51" s="242"/>
      <c r="BO51" s="236"/>
      <c r="BP51" s="236"/>
      <c r="BQ51" s="236"/>
      <c r="BR51" s="236"/>
    </row>
    <row r="52" spans="1:70" x14ac:dyDescent="0.25">
      <c r="B52" s="181" t="s">
        <v>336</v>
      </c>
      <c r="C52" s="184">
        <v>44267</v>
      </c>
      <c r="D52" s="181">
        <v>57211.3</v>
      </c>
      <c r="E52" s="212">
        <v>1</v>
      </c>
      <c r="F52" s="198"/>
      <c r="G52" s="212" t="s">
        <v>57</v>
      </c>
      <c r="H52" s="212">
        <v>33826.01662581</v>
      </c>
      <c r="I52" s="158"/>
      <c r="J52" s="152"/>
      <c r="K52" s="217"/>
      <c r="L52" s="217"/>
      <c r="M52" s="217"/>
      <c r="O52" s="230" t="s">
        <v>57</v>
      </c>
      <c r="P52" s="230">
        <v>33815.820212990002</v>
      </c>
      <c r="Q52" s="228"/>
      <c r="S52" s="242"/>
      <c r="T52" s="247"/>
      <c r="U52" s="247"/>
      <c r="V52" s="247"/>
      <c r="W52" s="247"/>
      <c r="X52" s="247"/>
      <c r="Y52" s="234"/>
      <c r="Z52" s="242" t="s">
        <v>664</v>
      </c>
      <c r="AA52" s="242">
        <v>0</v>
      </c>
      <c r="AB52" s="242">
        <v>0</v>
      </c>
      <c r="AC52" s="242">
        <v>0</v>
      </c>
      <c r="AD52" s="242">
        <v>0</v>
      </c>
      <c r="AE52" s="242">
        <v>1</v>
      </c>
      <c r="AF52" s="242"/>
      <c r="AG52" s="242" t="s">
        <v>649</v>
      </c>
      <c r="AH52" s="242">
        <v>524320</v>
      </c>
      <c r="AI52" s="242">
        <v>8</v>
      </c>
      <c r="AJ52" s="242">
        <v>1</v>
      </c>
      <c r="AK52" s="242">
        <v>128</v>
      </c>
      <c r="AL52" s="242">
        <v>1</v>
      </c>
      <c r="AM52" s="234"/>
      <c r="AN52" s="242" t="s">
        <v>652</v>
      </c>
      <c r="AO52" s="242">
        <v>21694482.600000001</v>
      </c>
      <c r="AP52" s="242">
        <v>162</v>
      </c>
      <c r="AQ52" s="242">
        <v>27</v>
      </c>
      <c r="AR52" s="242">
        <v>761</v>
      </c>
      <c r="AS52" s="242">
        <v>1</v>
      </c>
      <c r="AT52" s="234"/>
      <c r="AU52" s="242" t="s">
        <v>652</v>
      </c>
      <c r="AV52" s="242">
        <v>585396</v>
      </c>
      <c r="AW52" s="242">
        <v>4</v>
      </c>
      <c r="AX52" s="242">
        <v>1</v>
      </c>
      <c r="AY52" s="242">
        <v>42</v>
      </c>
      <c r="AZ52" s="242">
        <v>1</v>
      </c>
      <c r="BA52" s="234"/>
      <c r="BB52" s="242" t="s">
        <v>650</v>
      </c>
      <c r="BC52" s="242">
        <v>5465178</v>
      </c>
      <c r="BD52" s="242">
        <v>60</v>
      </c>
      <c r="BE52" s="242">
        <v>3</v>
      </c>
      <c r="BF52" s="242">
        <v>165</v>
      </c>
      <c r="BG52" s="242">
        <v>1</v>
      </c>
      <c r="BH52" s="236" t="s">
        <v>650</v>
      </c>
      <c r="BI52" s="242">
        <v>0</v>
      </c>
      <c r="BJ52" s="242">
        <v>0</v>
      </c>
      <c r="BK52" s="242">
        <v>0</v>
      </c>
      <c r="BL52" s="242">
        <v>20</v>
      </c>
      <c r="BM52" s="242">
        <v>1</v>
      </c>
      <c r="BN52" s="242"/>
      <c r="BO52" s="248" t="s">
        <v>462</v>
      </c>
      <c r="BP52" s="253" t="s">
        <v>528</v>
      </c>
      <c r="BQ52" s="253" t="s">
        <v>635</v>
      </c>
      <c r="BR52" s="253" t="s">
        <v>636</v>
      </c>
    </row>
    <row r="53" spans="1:70" x14ac:dyDescent="0.25">
      <c r="B53" s="181" t="s">
        <v>565</v>
      </c>
      <c r="C53" s="184">
        <v>44350</v>
      </c>
      <c r="D53" s="181">
        <v>6729.9372418399998</v>
      </c>
      <c r="E53" s="212">
        <v>1</v>
      </c>
      <c r="F53" s="199"/>
      <c r="G53" s="212" t="s">
        <v>50</v>
      </c>
      <c r="H53" s="212">
        <v>36414.488769980002</v>
      </c>
      <c r="I53" s="158"/>
      <c r="J53" s="152"/>
      <c r="K53" s="217"/>
      <c r="L53" s="217"/>
      <c r="M53" s="217"/>
      <c r="O53" s="230" t="s">
        <v>50</v>
      </c>
      <c r="P53" s="230">
        <v>36581.748766440003</v>
      </c>
      <c r="Q53" s="228"/>
      <c r="S53" s="242"/>
      <c r="T53" s="247"/>
      <c r="U53" s="247"/>
      <c r="V53" s="247"/>
      <c r="W53" s="247"/>
      <c r="X53" s="247"/>
      <c r="Y53" s="234"/>
      <c r="Z53" s="242" t="s">
        <v>665</v>
      </c>
      <c r="AA53" s="242">
        <v>0</v>
      </c>
      <c r="AB53" s="242">
        <v>0</v>
      </c>
      <c r="AC53" s="242">
        <v>0</v>
      </c>
      <c r="AD53" s="242">
        <v>0</v>
      </c>
      <c r="AE53" s="242">
        <v>0</v>
      </c>
      <c r="AF53" s="242"/>
      <c r="AG53" s="242" t="s">
        <v>650</v>
      </c>
      <c r="AH53" s="242">
        <v>1089120</v>
      </c>
      <c r="AI53" s="242">
        <v>6</v>
      </c>
      <c r="AJ53" s="242">
        <v>1</v>
      </c>
      <c r="AK53" s="242">
        <v>30</v>
      </c>
      <c r="AL53" s="242">
        <v>1</v>
      </c>
      <c r="AM53" s="234"/>
      <c r="AN53" s="242" t="s">
        <v>653</v>
      </c>
      <c r="AO53" s="242">
        <v>12970160</v>
      </c>
      <c r="AP53" s="242">
        <v>44</v>
      </c>
      <c r="AQ53" s="242">
        <v>24</v>
      </c>
      <c r="AR53" s="242">
        <v>3184</v>
      </c>
      <c r="AS53" s="242">
        <v>1</v>
      </c>
      <c r="AT53" s="234"/>
      <c r="AU53" s="242" t="s">
        <v>653</v>
      </c>
      <c r="AV53" s="242">
        <v>611700</v>
      </c>
      <c r="AW53" s="242">
        <v>2</v>
      </c>
      <c r="AX53" s="242">
        <v>1</v>
      </c>
      <c r="AY53" s="242">
        <v>173</v>
      </c>
      <c r="AZ53" s="242">
        <v>1</v>
      </c>
      <c r="BA53" s="234"/>
      <c r="BB53" s="242" t="s">
        <v>651</v>
      </c>
      <c r="BC53" s="242">
        <v>0</v>
      </c>
      <c r="BD53" s="242">
        <v>0</v>
      </c>
      <c r="BE53" s="242">
        <v>0</v>
      </c>
      <c r="BF53" s="242">
        <v>12936</v>
      </c>
      <c r="BG53" s="242">
        <v>1</v>
      </c>
      <c r="BH53" s="236" t="s">
        <v>651</v>
      </c>
      <c r="BI53" s="242">
        <v>0</v>
      </c>
      <c r="BJ53" s="242">
        <v>0</v>
      </c>
      <c r="BK53" s="242">
        <v>0</v>
      </c>
      <c r="BL53" s="242">
        <v>616</v>
      </c>
      <c r="BM53" s="242">
        <v>1</v>
      </c>
      <c r="BN53" s="242"/>
      <c r="BO53" s="240"/>
      <c r="BP53" s="252"/>
      <c r="BQ53" s="252"/>
      <c r="BR53" s="252"/>
    </row>
    <row r="54" spans="1:70" x14ac:dyDescent="0.25">
      <c r="B54" s="181" t="s">
        <v>569</v>
      </c>
      <c r="C54" s="184">
        <v>44364</v>
      </c>
      <c r="D54" s="181">
        <v>9667.7523078199993</v>
      </c>
      <c r="E54" s="212">
        <v>1</v>
      </c>
      <c r="F54" s="204"/>
      <c r="G54" s="212" t="s">
        <v>281</v>
      </c>
      <c r="H54" s="212">
        <v>27949.59</v>
      </c>
      <c r="I54" s="158"/>
      <c r="J54" s="152"/>
      <c r="K54" s="217"/>
      <c r="L54" s="217"/>
      <c r="M54" s="217"/>
      <c r="O54" s="230" t="s">
        <v>281</v>
      </c>
      <c r="P54" s="230">
        <v>28386.47</v>
      </c>
      <c r="Q54" s="228"/>
      <c r="S54" s="242"/>
      <c r="T54" s="247"/>
      <c r="U54" s="247"/>
      <c r="V54" s="247"/>
      <c r="W54" s="247"/>
      <c r="X54" s="247"/>
      <c r="Y54" s="234"/>
      <c r="Z54" s="242" t="s">
        <v>665</v>
      </c>
      <c r="AA54" s="242">
        <v>0</v>
      </c>
      <c r="AB54" s="242">
        <v>0</v>
      </c>
      <c r="AC54" s="242">
        <v>0</v>
      </c>
      <c r="AD54" s="242">
        <v>0</v>
      </c>
      <c r="AE54" s="242">
        <v>1</v>
      </c>
      <c r="AF54" s="242"/>
      <c r="AG54" s="242" t="s">
        <v>651</v>
      </c>
      <c r="AH54" s="242">
        <v>2562292.5</v>
      </c>
      <c r="AI54" s="242">
        <v>33</v>
      </c>
      <c r="AJ54" s="242">
        <v>3</v>
      </c>
      <c r="AK54" s="242">
        <v>140</v>
      </c>
      <c r="AL54" s="242">
        <v>1</v>
      </c>
      <c r="AM54" s="234"/>
      <c r="AN54" s="242" t="s">
        <v>654</v>
      </c>
      <c r="AO54" s="242">
        <v>48776460.299999997</v>
      </c>
      <c r="AP54" s="242">
        <v>249</v>
      </c>
      <c r="AQ54" s="242">
        <v>15</v>
      </c>
      <c r="AR54" s="242">
        <v>2085</v>
      </c>
      <c r="AS54" s="242">
        <v>1</v>
      </c>
      <c r="AT54" s="234"/>
      <c r="AU54" s="242" t="s">
        <v>654</v>
      </c>
      <c r="AV54" s="242">
        <v>382320</v>
      </c>
      <c r="AW54" s="242">
        <v>2</v>
      </c>
      <c r="AX54" s="242">
        <v>1</v>
      </c>
      <c r="AY54" s="242">
        <v>113</v>
      </c>
      <c r="AZ54" s="242">
        <v>1</v>
      </c>
      <c r="BA54" s="234"/>
      <c r="BB54" s="242" t="s">
        <v>652</v>
      </c>
      <c r="BC54" s="242">
        <v>3530629.62</v>
      </c>
      <c r="BD54" s="242">
        <v>40</v>
      </c>
      <c r="BE54" s="242">
        <v>9</v>
      </c>
      <c r="BF54" s="242">
        <v>89</v>
      </c>
      <c r="BG54" s="242">
        <v>1</v>
      </c>
      <c r="BH54" s="236" t="s">
        <v>652</v>
      </c>
      <c r="BI54" s="242">
        <v>88804.800000000003</v>
      </c>
      <c r="BJ54" s="242">
        <v>1</v>
      </c>
      <c r="BK54" s="242">
        <v>1</v>
      </c>
      <c r="BL54" s="242">
        <v>7</v>
      </c>
      <c r="BM54" s="242">
        <v>1</v>
      </c>
      <c r="BN54" s="242"/>
      <c r="BO54" s="240"/>
      <c r="BP54" s="252"/>
      <c r="BQ54" s="252"/>
      <c r="BR54" s="252"/>
    </row>
    <row r="55" spans="1:70" x14ac:dyDescent="0.25">
      <c r="B55" s="181" t="s">
        <v>570</v>
      </c>
      <c r="C55" s="184">
        <v>44603</v>
      </c>
      <c r="D55" s="181">
        <v>147.48193276000001</v>
      </c>
      <c r="E55" s="212">
        <v>1</v>
      </c>
      <c r="F55" s="207"/>
      <c r="G55" s="212" t="s">
        <v>539</v>
      </c>
      <c r="H55" s="212">
        <v>76098.84971332</v>
      </c>
      <c r="I55" s="158"/>
      <c r="J55" s="152"/>
      <c r="K55" s="217"/>
      <c r="L55" s="217"/>
      <c r="M55" s="217"/>
      <c r="O55" s="230" t="s">
        <v>539</v>
      </c>
      <c r="P55" s="230">
        <v>77941.705425890003</v>
      </c>
      <c r="Q55" s="228"/>
      <c r="S55" s="242"/>
      <c r="T55" s="247"/>
      <c r="U55" s="247"/>
      <c r="V55" s="247"/>
      <c r="W55" s="247"/>
      <c r="X55" s="247"/>
      <c r="Y55" s="234"/>
      <c r="Z55" s="242" t="s">
        <v>666</v>
      </c>
      <c r="AA55" s="242">
        <v>0</v>
      </c>
      <c r="AB55" s="242">
        <v>0</v>
      </c>
      <c r="AC55" s="242">
        <v>0</v>
      </c>
      <c r="AD55" s="242">
        <v>0</v>
      </c>
      <c r="AE55" s="242">
        <v>0</v>
      </c>
      <c r="AF55" s="242"/>
      <c r="AG55" s="242" t="s">
        <v>652</v>
      </c>
      <c r="AH55" s="242">
        <v>0</v>
      </c>
      <c r="AI55" s="242">
        <v>0</v>
      </c>
      <c r="AJ55" s="242">
        <v>0</v>
      </c>
      <c r="AK55" s="242">
        <v>70</v>
      </c>
      <c r="AL55" s="242">
        <v>1</v>
      </c>
      <c r="AM55" s="234"/>
      <c r="AN55" s="242" t="s">
        <v>655</v>
      </c>
      <c r="AO55" s="242">
        <v>397496978.73500001</v>
      </c>
      <c r="AP55" s="242">
        <v>1256</v>
      </c>
      <c r="AQ55" s="242">
        <v>105</v>
      </c>
      <c r="AR55" s="242">
        <v>19180</v>
      </c>
      <c r="AS55" s="242">
        <v>1</v>
      </c>
      <c r="AT55" s="234"/>
      <c r="AU55" s="242" t="s">
        <v>655</v>
      </c>
      <c r="AV55" s="242">
        <v>2708660</v>
      </c>
      <c r="AW55" s="242">
        <v>8</v>
      </c>
      <c r="AX55" s="242">
        <v>6</v>
      </c>
      <c r="AY55" s="242">
        <v>1412</v>
      </c>
      <c r="AZ55" s="242">
        <v>1</v>
      </c>
      <c r="BA55" s="234"/>
      <c r="BB55" s="242" t="s">
        <v>653</v>
      </c>
      <c r="BC55" s="242">
        <v>36071920.303999998</v>
      </c>
      <c r="BD55" s="242">
        <v>135</v>
      </c>
      <c r="BE55" s="242">
        <v>30</v>
      </c>
      <c r="BF55" s="242">
        <v>3870</v>
      </c>
      <c r="BG55" s="242">
        <v>1</v>
      </c>
      <c r="BH55" s="236" t="s">
        <v>653</v>
      </c>
      <c r="BI55" s="242">
        <v>0</v>
      </c>
      <c r="BJ55" s="242">
        <v>0</v>
      </c>
      <c r="BK55" s="242">
        <v>0</v>
      </c>
      <c r="BL55" s="242">
        <v>265</v>
      </c>
      <c r="BM55" s="242">
        <v>1</v>
      </c>
      <c r="BN55" s="242"/>
      <c r="BO55" s="245" t="s">
        <v>463</v>
      </c>
      <c r="BP55" s="253"/>
      <c r="BQ55" s="253"/>
      <c r="BR55" s="252"/>
    </row>
    <row r="56" spans="1:70" x14ac:dyDescent="0.25">
      <c r="B56" s="181" t="s">
        <v>346</v>
      </c>
      <c r="C56" s="184">
        <v>43165</v>
      </c>
      <c r="D56" s="181">
        <v>14437.3</v>
      </c>
      <c r="E56" s="212">
        <v>1</v>
      </c>
      <c r="F56" s="207"/>
      <c r="G56" s="212" t="s">
        <v>96</v>
      </c>
      <c r="H56" s="212">
        <v>475.73780347000002</v>
      </c>
      <c r="I56" s="158"/>
      <c r="J56" s="152"/>
      <c r="K56" s="217"/>
      <c r="L56" s="217"/>
      <c r="M56" s="217"/>
      <c r="O56" s="230" t="s">
        <v>96</v>
      </c>
      <c r="P56" s="230">
        <v>465.99936233</v>
      </c>
      <c r="Q56" s="228"/>
      <c r="S56" s="242"/>
      <c r="T56" s="247"/>
      <c r="U56" s="247"/>
      <c r="V56" s="247"/>
      <c r="W56" s="247"/>
      <c r="X56" s="247"/>
      <c r="Y56" s="234"/>
      <c r="Z56" s="242" t="s">
        <v>666</v>
      </c>
      <c r="AA56" s="242">
        <v>14935700</v>
      </c>
      <c r="AB56" s="242">
        <v>85</v>
      </c>
      <c r="AC56" s="242">
        <v>17</v>
      </c>
      <c r="AD56" s="242">
        <v>1069</v>
      </c>
      <c r="AE56" s="242">
        <v>1</v>
      </c>
      <c r="AF56" s="242"/>
      <c r="AG56" s="242" t="s">
        <v>653</v>
      </c>
      <c r="AH56" s="242">
        <v>2317570</v>
      </c>
      <c r="AI56" s="242">
        <v>8</v>
      </c>
      <c r="AJ56" s="242">
        <v>3</v>
      </c>
      <c r="AK56" s="242">
        <v>221</v>
      </c>
      <c r="AL56" s="242">
        <v>1</v>
      </c>
      <c r="AM56" s="234"/>
      <c r="AN56" s="242" t="s">
        <v>656</v>
      </c>
      <c r="AO56" s="242">
        <v>0</v>
      </c>
      <c r="AP56" s="242">
        <v>0</v>
      </c>
      <c r="AQ56" s="242">
        <v>0</v>
      </c>
      <c r="AR56" s="242">
        <v>0</v>
      </c>
      <c r="AS56" s="242">
        <v>1</v>
      </c>
      <c r="AT56" s="234"/>
      <c r="AU56" s="242" t="s">
        <v>656</v>
      </c>
      <c r="AV56" s="242">
        <v>0</v>
      </c>
      <c r="AW56" s="242">
        <v>0</v>
      </c>
      <c r="AX56" s="242">
        <v>0</v>
      </c>
      <c r="AY56" s="242">
        <v>0</v>
      </c>
      <c r="AZ56" s="242">
        <v>1</v>
      </c>
      <c r="BA56" s="234"/>
      <c r="BB56" s="242" t="s">
        <v>654</v>
      </c>
      <c r="BC56" s="242">
        <v>18582319.989999998</v>
      </c>
      <c r="BD56" s="242">
        <v>100</v>
      </c>
      <c r="BE56" s="242">
        <v>23</v>
      </c>
      <c r="BF56" s="242">
        <v>658</v>
      </c>
      <c r="BG56" s="242">
        <v>1</v>
      </c>
      <c r="BH56" s="236" t="s">
        <v>654</v>
      </c>
      <c r="BI56" s="242">
        <v>0</v>
      </c>
      <c r="BJ56" s="242">
        <v>0</v>
      </c>
      <c r="BK56" s="242">
        <v>0</v>
      </c>
      <c r="BL56" s="242">
        <v>37</v>
      </c>
      <c r="BM56" s="242">
        <v>1</v>
      </c>
      <c r="BN56" s="242"/>
      <c r="BO56" s="236"/>
      <c r="BP56" s="252"/>
      <c r="BQ56" s="252"/>
      <c r="BR56" s="252"/>
    </row>
    <row r="57" spans="1:70" x14ac:dyDescent="0.25">
      <c r="B57" s="181" t="s">
        <v>349</v>
      </c>
      <c r="C57" s="184">
        <v>42374</v>
      </c>
      <c r="D57" s="181">
        <v>13453.03</v>
      </c>
      <c r="E57" s="212">
        <v>1</v>
      </c>
      <c r="F57" s="207"/>
      <c r="G57" s="212" t="s">
        <v>98</v>
      </c>
      <c r="H57" s="212">
        <v>842.89359769999999</v>
      </c>
      <c r="I57" s="158"/>
      <c r="J57" s="152"/>
      <c r="K57" s="217"/>
      <c r="L57" s="217"/>
      <c r="M57" s="217"/>
      <c r="O57" s="230" t="s">
        <v>98</v>
      </c>
      <c r="P57" s="230">
        <v>870.25526094999998</v>
      </c>
      <c r="Q57" s="228"/>
      <c r="S57" s="242"/>
      <c r="T57" s="247"/>
      <c r="U57" s="247"/>
      <c r="V57" s="247"/>
      <c r="W57" s="247"/>
      <c r="X57" s="247"/>
      <c r="Y57" s="234"/>
      <c r="Z57" s="242" t="s">
        <v>667</v>
      </c>
      <c r="AA57" s="242">
        <v>0</v>
      </c>
      <c r="AB57" s="242">
        <v>0</v>
      </c>
      <c r="AC57" s="242">
        <v>0</v>
      </c>
      <c r="AD57" s="242">
        <v>0</v>
      </c>
      <c r="AE57" s="242">
        <v>0</v>
      </c>
      <c r="AF57" s="242"/>
      <c r="AG57" s="242" t="s">
        <v>654</v>
      </c>
      <c r="AH57" s="242">
        <v>372960</v>
      </c>
      <c r="AI57" s="242">
        <v>2</v>
      </c>
      <c r="AJ57" s="242">
        <v>1</v>
      </c>
      <c r="AK57" s="242">
        <v>45</v>
      </c>
      <c r="AL57" s="242">
        <v>1</v>
      </c>
      <c r="AM57" s="234"/>
      <c r="AN57" s="242" t="s">
        <v>657</v>
      </c>
      <c r="AO57" s="242">
        <v>11380445</v>
      </c>
      <c r="AP57" s="242">
        <v>155</v>
      </c>
      <c r="AQ57" s="242">
        <v>10</v>
      </c>
      <c r="AR57" s="242">
        <v>1198</v>
      </c>
      <c r="AS57" s="242">
        <v>1</v>
      </c>
      <c r="AT57" s="234"/>
      <c r="AU57" s="242" t="s">
        <v>657</v>
      </c>
      <c r="AV57" s="242">
        <v>0</v>
      </c>
      <c r="AW57" s="242">
        <v>0</v>
      </c>
      <c r="AX57" s="242">
        <v>0</v>
      </c>
      <c r="AY57" s="242">
        <v>67</v>
      </c>
      <c r="AZ57" s="242">
        <v>1</v>
      </c>
      <c r="BA57" s="234"/>
      <c r="BB57" s="242" t="s">
        <v>655</v>
      </c>
      <c r="BC57" s="242">
        <v>64204639.314999998</v>
      </c>
      <c r="BD57" s="242">
        <v>359</v>
      </c>
      <c r="BE57" s="242">
        <v>49</v>
      </c>
      <c r="BF57" s="242">
        <v>3728</v>
      </c>
      <c r="BG57" s="242">
        <v>1</v>
      </c>
      <c r="BH57" s="236" t="s">
        <v>655</v>
      </c>
      <c r="BI57" s="242">
        <v>0</v>
      </c>
      <c r="BJ57" s="242">
        <v>0</v>
      </c>
      <c r="BK57" s="242">
        <v>0</v>
      </c>
      <c r="BL57" s="242">
        <v>260</v>
      </c>
      <c r="BM57" s="242">
        <v>1</v>
      </c>
      <c r="BN57" s="242"/>
      <c r="BO57" s="236"/>
      <c r="BP57" s="252"/>
      <c r="BQ57" s="252"/>
      <c r="BR57" s="252"/>
    </row>
    <row r="58" spans="1:70" x14ac:dyDescent="0.25">
      <c r="B58" s="181" t="s">
        <v>351</v>
      </c>
      <c r="C58" s="184">
        <v>42310</v>
      </c>
      <c r="D58" s="181">
        <v>11222.21</v>
      </c>
      <c r="E58" s="212">
        <v>1</v>
      </c>
      <c r="F58" s="207"/>
      <c r="G58" s="212" t="s">
        <v>289</v>
      </c>
      <c r="H58" s="212">
        <v>3394.8235195500001</v>
      </c>
      <c r="I58" s="158"/>
      <c r="J58" s="152"/>
      <c r="K58" s="217"/>
      <c r="L58" s="217"/>
      <c r="M58" s="217"/>
      <c r="O58" s="230" t="s">
        <v>289</v>
      </c>
      <c r="P58" s="230">
        <v>3491.28639372</v>
      </c>
      <c r="Q58" s="228"/>
      <c r="S58" s="234"/>
      <c r="T58" s="234"/>
      <c r="U58" s="234"/>
      <c r="V58" s="234"/>
      <c r="W58" s="234"/>
      <c r="X58" s="234"/>
      <c r="Y58" s="234"/>
      <c r="Z58" s="242" t="s">
        <v>667</v>
      </c>
      <c r="AA58" s="242">
        <v>32732897</v>
      </c>
      <c r="AB58" s="242">
        <v>293</v>
      </c>
      <c r="AC58" s="242">
        <v>61</v>
      </c>
      <c r="AD58" s="242">
        <v>2248</v>
      </c>
      <c r="AE58" s="242">
        <v>1</v>
      </c>
      <c r="AF58" s="242"/>
      <c r="AG58" s="242" t="s">
        <v>655</v>
      </c>
      <c r="AH58" s="242">
        <v>69539789.989999995</v>
      </c>
      <c r="AI58" s="242">
        <v>197</v>
      </c>
      <c r="AJ58" s="242">
        <v>13</v>
      </c>
      <c r="AK58" s="242">
        <v>1501</v>
      </c>
      <c r="AL58" s="242">
        <v>1</v>
      </c>
      <c r="AM58" s="234"/>
      <c r="AN58" s="242" t="s">
        <v>658</v>
      </c>
      <c r="AO58" s="242">
        <v>0</v>
      </c>
      <c r="AP58" s="242">
        <v>0</v>
      </c>
      <c r="AQ58" s="242">
        <v>0</v>
      </c>
      <c r="AR58" s="242">
        <v>36</v>
      </c>
      <c r="AS58" s="242">
        <v>1</v>
      </c>
      <c r="AT58" s="234"/>
      <c r="AU58" s="242" t="s">
        <v>658</v>
      </c>
      <c r="AV58" s="242">
        <v>0</v>
      </c>
      <c r="AW58" s="242">
        <v>0</v>
      </c>
      <c r="AX58" s="242">
        <v>0</v>
      </c>
      <c r="AY58" s="242">
        <v>2</v>
      </c>
      <c r="AZ58" s="242">
        <v>1</v>
      </c>
      <c r="BA58" s="234"/>
      <c r="BB58" s="242" t="s">
        <v>656</v>
      </c>
      <c r="BC58" s="242">
        <v>5852886.0599999996</v>
      </c>
      <c r="BD58" s="242">
        <v>69</v>
      </c>
      <c r="BE58" s="242">
        <v>11</v>
      </c>
      <c r="BF58" s="242">
        <v>165</v>
      </c>
      <c r="BG58" s="242">
        <v>1</v>
      </c>
      <c r="BH58" s="236" t="s">
        <v>656</v>
      </c>
      <c r="BI58" s="242">
        <v>0</v>
      </c>
      <c r="BJ58" s="242">
        <v>0</v>
      </c>
      <c r="BK58" s="242">
        <v>0</v>
      </c>
      <c r="BL58" s="242">
        <v>10</v>
      </c>
      <c r="BM58" s="242">
        <v>1</v>
      </c>
      <c r="BN58" s="242"/>
      <c r="BO58" s="236"/>
      <c r="BP58" s="252"/>
      <c r="BQ58" s="252"/>
      <c r="BR58" s="252"/>
    </row>
    <row r="59" spans="1:70" x14ac:dyDescent="0.25">
      <c r="B59" s="181" t="s">
        <v>363</v>
      </c>
      <c r="C59" s="184">
        <v>42222</v>
      </c>
      <c r="D59" s="181">
        <v>26117.47</v>
      </c>
      <c r="E59" s="212">
        <v>1</v>
      </c>
      <c r="F59" s="198"/>
      <c r="G59" s="212" t="s">
        <v>59</v>
      </c>
      <c r="H59" s="212">
        <v>12748.6502912</v>
      </c>
      <c r="I59" s="158"/>
      <c r="J59" s="152"/>
      <c r="K59" s="217"/>
      <c r="L59" s="217"/>
      <c r="M59" s="217"/>
      <c r="O59" s="230" t="s">
        <v>59</v>
      </c>
      <c r="P59" s="230">
        <v>12603.74167707</v>
      </c>
      <c r="Q59" s="228"/>
      <c r="S59" s="234"/>
      <c r="T59" s="234"/>
      <c r="U59" s="234"/>
      <c r="V59" s="234"/>
      <c r="W59" s="234"/>
      <c r="X59" s="234"/>
      <c r="Y59" s="234"/>
      <c r="Z59" s="242" t="s">
        <v>668</v>
      </c>
      <c r="AA59" s="242">
        <v>0</v>
      </c>
      <c r="AB59" s="242">
        <v>0</v>
      </c>
      <c r="AC59" s="242">
        <v>0</v>
      </c>
      <c r="AD59" s="242">
        <v>0</v>
      </c>
      <c r="AE59" s="242">
        <v>0</v>
      </c>
      <c r="AF59" s="242"/>
      <c r="AG59" s="242" t="s">
        <v>656</v>
      </c>
      <c r="AH59" s="242">
        <v>0</v>
      </c>
      <c r="AI59" s="242">
        <v>0</v>
      </c>
      <c r="AJ59" s="242">
        <v>0</v>
      </c>
      <c r="AK59" s="242">
        <v>0</v>
      </c>
      <c r="AL59" s="242">
        <v>1</v>
      </c>
      <c r="AM59" s="234"/>
      <c r="AN59" s="242" t="s">
        <v>659</v>
      </c>
      <c r="AO59" s="242">
        <v>3183980</v>
      </c>
      <c r="AP59" s="242">
        <v>14</v>
      </c>
      <c r="AQ59" s="242">
        <v>2</v>
      </c>
      <c r="AR59" s="242">
        <v>395</v>
      </c>
      <c r="AS59" s="242">
        <v>1</v>
      </c>
      <c r="AT59" s="234"/>
      <c r="AU59" s="242" t="s">
        <v>659</v>
      </c>
      <c r="AV59" s="242">
        <v>0</v>
      </c>
      <c r="AW59" s="242">
        <v>0</v>
      </c>
      <c r="AX59" s="242">
        <v>0</v>
      </c>
      <c r="AY59" s="242">
        <v>21</v>
      </c>
      <c r="AZ59" s="242">
        <v>1</v>
      </c>
      <c r="BA59" s="234"/>
      <c r="BB59" s="242" t="s">
        <v>680</v>
      </c>
      <c r="BC59" s="242">
        <v>882450</v>
      </c>
      <c r="BD59" s="242">
        <v>9</v>
      </c>
      <c r="BE59" s="242">
        <v>3</v>
      </c>
      <c r="BF59" s="242">
        <v>6</v>
      </c>
      <c r="BG59" s="242">
        <v>1</v>
      </c>
      <c r="BH59" s="236" t="s">
        <v>680</v>
      </c>
      <c r="BI59" s="242">
        <v>0</v>
      </c>
      <c r="BJ59" s="242">
        <v>0</v>
      </c>
      <c r="BK59" s="242">
        <v>0</v>
      </c>
      <c r="BL59" s="242">
        <v>0</v>
      </c>
      <c r="BM59" s="242">
        <v>1</v>
      </c>
      <c r="BN59" s="242"/>
      <c r="BO59" s="245" t="s">
        <v>445</v>
      </c>
      <c r="BP59" s="253" t="s">
        <v>528</v>
      </c>
      <c r="BQ59" s="253" t="s">
        <v>635</v>
      </c>
      <c r="BR59" s="253" t="s">
        <v>636</v>
      </c>
    </row>
    <row r="60" spans="1:70" x14ac:dyDescent="0.25">
      <c r="B60" s="181" t="s">
        <v>370</v>
      </c>
      <c r="C60" s="184">
        <v>43125</v>
      </c>
      <c r="D60" s="181">
        <v>15343.72</v>
      </c>
      <c r="E60" s="212">
        <v>1</v>
      </c>
      <c r="F60" s="198"/>
      <c r="G60" s="212" t="s">
        <v>52</v>
      </c>
      <c r="H60" s="212">
        <v>14137.36053858</v>
      </c>
      <c r="I60" s="158"/>
      <c r="J60" s="152"/>
      <c r="K60" s="217"/>
      <c r="L60" s="217"/>
      <c r="M60" s="217"/>
      <c r="O60" s="230" t="s">
        <v>52</v>
      </c>
      <c r="P60" s="230">
        <v>14077.103820079999</v>
      </c>
      <c r="Q60" s="228"/>
      <c r="S60" s="243"/>
      <c r="T60" s="246"/>
      <c r="U60" s="246"/>
      <c r="V60" s="246"/>
      <c r="W60" s="246"/>
      <c r="X60" s="246"/>
      <c r="Y60" s="234"/>
      <c r="Z60" s="242" t="s">
        <v>668</v>
      </c>
      <c r="AA60" s="242">
        <v>142239112.755</v>
      </c>
      <c r="AB60" s="242">
        <v>413</v>
      </c>
      <c r="AC60" s="242">
        <v>190</v>
      </c>
      <c r="AD60" s="242">
        <v>2773</v>
      </c>
      <c r="AE60" s="242">
        <v>1</v>
      </c>
      <c r="AF60" s="242"/>
      <c r="AG60" s="242" t="s">
        <v>657</v>
      </c>
      <c r="AH60" s="242">
        <v>611520</v>
      </c>
      <c r="AI60" s="242">
        <v>7</v>
      </c>
      <c r="AJ60" s="242">
        <v>1</v>
      </c>
      <c r="AK60" s="242">
        <v>54</v>
      </c>
      <c r="AL60" s="242">
        <v>1</v>
      </c>
      <c r="AM60" s="234"/>
      <c r="AN60" s="242" t="s">
        <v>660</v>
      </c>
      <c r="AO60" s="242">
        <v>2645650</v>
      </c>
      <c r="AP60" s="242">
        <v>18</v>
      </c>
      <c r="AQ60" s="242">
        <v>13</v>
      </c>
      <c r="AR60" s="242">
        <v>1257</v>
      </c>
      <c r="AS60" s="242">
        <v>1</v>
      </c>
      <c r="AT60" s="234"/>
      <c r="AU60" s="242" t="s">
        <v>660</v>
      </c>
      <c r="AV60" s="242">
        <v>293960</v>
      </c>
      <c r="AW60" s="242">
        <v>2</v>
      </c>
      <c r="AX60" s="242">
        <v>1</v>
      </c>
      <c r="AY60" s="242">
        <v>73</v>
      </c>
      <c r="AZ60" s="242">
        <v>1</v>
      </c>
      <c r="BA60" s="234"/>
      <c r="BB60" s="242" t="s">
        <v>681</v>
      </c>
      <c r="BC60" s="242">
        <v>38154792</v>
      </c>
      <c r="BD60" s="242">
        <v>331</v>
      </c>
      <c r="BE60" s="242">
        <v>14</v>
      </c>
      <c r="BF60" s="242">
        <v>1950</v>
      </c>
      <c r="BG60" s="242">
        <v>1</v>
      </c>
      <c r="BH60" s="236" t="s">
        <v>681</v>
      </c>
      <c r="BI60" s="242">
        <v>115350</v>
      </c>
      <c r="BJ60" s="242">
        <v>1</v>
      </c>
      <c r="BK60" s="242">
        <v>1</v>
      </c>
      <c r="BL60" s="242">
        <v>333</v>
      </c>
      <c r="BM60" s="242">
        <v>1</v>
      </c>
      <c r="BN60" s="242"/>
      <c r="BO60" s="236"/>
      <c r="BP60" s="252"/>
      <c r="BQ60" s="252"/>
      <c r="BR60" s="252"/>
    </row>
    <row r="61" spans="1:70" x14ac:dyDescent="0.25">
      <c r="A61" s="35"/>
      <c r="B61" s="181" t="s">
        <v>371</v>
      </c>
      <c r="C61" s="184">
        <v>43125</v>
      </c>
      <c r="D61" s="181">
        <v>18705.11</v>
      </c>
      <c r="E61" s="212">
        <v>1</v>
      </c>
      <c r="F61" s="201"/>
      <c r="G61" s="212" t="s">
        <v>540</v>
      </c>
      <c r="H61" s="212">
        <v>20150.264118480001</v>
      </c>
      <c r="I61" s="158"/>
      <c r="J61" s="152"/>
      <c r="K61" s="217"/>
      <c r="L61" s="217"/>
      <c r="M61" s="217"/>
      <c r="O61" s="230" t="s">
        <v>540</v>
      </c>
      <c r="P61" s="230">
        <v>19960.186606570001</v>
      </c>
      <c r="Q61" s="228"/>
      <c r="R61" s="152"/>
      <c r="S61" s="242"/>
      <c r="T61" s="247"/>
      <c r="U61" s="247"/>
      <c r="V61" s="247"/>
      <c r="W61" s="247"/>
      <c r="X61" s="247"/>
      <c r="Y61" s="234"/>
      <c r="Z61" s="242" t="s">
        <v>669</v>
      </c>
      <c r="AA61" s="242">
        <v>11210824.48</v>
      </c>
      <c r="AB61" s="242">
        <v>888</v>
      </c>
      <c r="AC61" s="242">
        <v>62</v>
      </c>
      <c r="AD61" s="242">
        <v>23650</v>
      </c>
      <c r="AE61" s="242">
        <v>0</v>
      </c>
      <c r="AF61" s="242"/>
      <c r="AG61" s="242" t="s">
        <v>658</v>
      </c>
      <c r="AH61" s="242">
        <v>0</v>
      </c>
      <c r="AI61" s="242">
        <v>0</v>
      </c>
      <c r="AJ61" s="242">
        <v>0</v>
      </c>
      <c r="AK61" s="242">
        <v>4</v>
      </c>
      <c r="AL61" s="242">
        <v>1</v>
      </c>
      <c r="AM61" s="234"/>
      <c r="AN61" s="242" t="s">
        <v>661</v>
      </c>
      <c r="AO61" s="242">
        <v>14184479.99</v>
      </c>
      <c r="AP61" s="242">
        <v>145</v>
      </c>
      <c r="AQ61" s="242">
        <v>7</v>
      </c>
      <c r="AR61" s="242">
        <v>1956</v>
      </c>
      <c r="AS61" s="242">
        <v>1</v>
      </c>
      <c r="AT61" s="234"/>
      <c r="AU61" s="242" t="s">
        <v>661</v>
      </c>
      <c r="AV61" s="242">
        <v>278079.99</v>
      </c>
      <c r="AW61" s="242">
        <v>3</v>
      </c>
      <c r="AX61" s="242">
        <v>1</v>
      </c>
      <c r="AY61" s="242">
        <v>117</v>
      </c>
      <c r="AZ61" s="242">
        <v>1</v>
      </c>
      <c r="BA61" s="234"/>
      <c r="BB61" s="242" t="s">
        <v>657</v>
      </c>
      <c r="BC61" s="242">
        <v>2218300</v>
      </c>
      <c r="BD61" s="242">
        <v>75</v>
      </c>
      <c r="BE61" s="242">
        <v>6</v>
      </c>
      <c r="BF61" s="242">
        <v>205</v>
      </c>
      <c r="BG61" s="242">
        <v>1</v>
      </c>
      <c r="BH61" s="236" t="s">
        <v>657</v>
      </c>
      <c r="BI61" s="242">
        <v>0</v>
      </c>
      <c r="BJ61" s="242">
        <v>0</v>
      </c>
      <c r="BK61" s="242">
        <v>0</v>
      </c>
      <c r="BL61" s="242">
        <v>0</v>
      </c>
      <c r="BM61" s="242">
        <v>1</v>
      </c>
      <c r="BN61" s="242"/>
      <c r="BO61" s="236"/>
      <c r="BP61" s="236"/>
      <c r="BQ61" s="236"/>
      <c r="BR61" s="236"/>
    </row>
    <row r="62" spans="1:70" x14ac:dyDescent="0.25">
      <c r="A62" s="14"/>
      <c r="B62" s="181" t="s">
        <v>592</v>
      </c>
      <c r="C62" s="184">
        <v>44467</v>
      </c>
      <c r="D62" s="181">
        <v>22652.05</v>
      </c>
      <c r="E62" s="212">
        <v>1</v>
      </c>
      <c r="F62" s="201"/>
      <c r="G62" s="212" t="s">
        <v>541</v>
      </c>
      <c r="H62" s="212">
        <v>20977.337745569999</v>
      </c>
      <c r="I62" s="158"/>
      <c r="J62" s="152"/>
      <c r="K62" s="217"/>
      <c r="L62" s="217"/>
      <c r="M62" s="217"/>
      <c r="O62" s="230" t="s">
        <v>541</v>
      </c>
      <c r="P62" s="230">
        <v>20891.078315580002</v>
      </c>
      <c r="Q62" s="228"/>
      <c r="R62" s="152"/>
      <c r="S62" s="242"/>
      <c r="T62" s="247"/>
      <c r="U62" s="247"/>
      <c r="V62" s="247"/>
      <c r="W62" s="247"/>
      <c r="X62" s="247"/>
      <c r="Y62" s="234"/>
      <c r="Z62" s="242" t="s">
        <v>669</v>
      </c>
      <c r="AA62" s="242">
        <v>35758612937.014999</v>
      </c>
      <c r="AB62" s="242">
        <v>77478</v>
      </c>
      <c r="AC62" s="242">
        <v>6265</v>
      </c>
      <c r="AD62" s="242">
        <v>337190</v>
      </c>
      <c r="AE62" s="242">
        <v>1</v>
      </c>
      <c r="AF62" s="242"/>
      <c r="AG62" s="242" t="s">
        <v>659</v>
      </c>
      <c r="AH62" s="242">
        <v>0</v>
      </c>
      <c r="AI62" s="242">
        <v>0</v>
      </c>
      <c r="AJ62" s="242">
        <v>0</v>
      </c>
      <c r="AK62" s="242">
        <v>2</v>
      </c>
      <c r="AL62" s="242">
        <v>1</v>
      </c>
      <c r="AM62" s="234"/>
      <c r="AN62" s="242" t="s">
        <v>663</v>
      </c>
      <c r="AO62" s="242">
        <v>0</v>
      </c>
      <c r="AP62" s="242">
        <v>0</v>
      </c>
      <c r="AQ62" s="242">
        <v>0</v>
      </c>
      <c r="AR62" s="242">
        <v>0</v>
      </c>
      <c r="AS62" s="242">
        <v>1</v>
      </c>
      <c r="AT62" s="234"/>
      <c r="AU62" s="242" t="s">
        <v>663</v>
      </c>
      <c r="AV62" s="242">
        <v>0</v>
      </c>
      <c r="AW62" s="242">
        <v>0</v>
      </c>
      <c r="AX62" s="242">
        <v>0</v>
      </c>
      <c r="AY62" s="242">
        <v>0</v>
      </c>
      <c r="AZ62" s="242">
        <v>1</v>
      </c>
      <c r="BA62" s="234"/>
      <c r="BB62" s="242" t="s">
        <v>658</v>
      </c>
      <c r="BC62" s="242">
        <v>1564189.848</v>
      </c>
      <c r="BD62" s="242">
        <v>4</v>
      </c>
      <c r="BE62" s="242">
        <v>2</v>
      </c>
      <c r="BF62" s="242">
        <v>2730</v>
      </c>
      <c r="BG62" s="242">
        <v>1</v>
      </c>
      <c r="BH62" s="236" t="s">
        <v>658</v>
      </c>
      <c r="BI62" s="242">
        <v>0</v>
      </c>
      <c r="BJ62" s="242">
        <v>0</v>
      </c>
      <c r="BK62" s="242">
        <v>0</v>
      </c>
      <c r="BL62" s="242">
        <v>130</v>
      </c>
      <c r="BM62" s="242">
        <v>1</v>
      </c>
      <c r="BN62" s="242"/>
      <c r="BO62" s="245" t="s">
        <v>460</v>
      </c>
      <c r="BP62" s="253" t="s">
        <v>528</v>
      </c>
      <c r="BQ62" s="253" t="s">
        <v>635</v>
      </c>
      <c r="BR62" s="253" t="s">
        <v>636</v>
      </c>
    </row>
    <row r="63" spans="1:70" x14ac:dyDescent="0.25">
      <c r="A63" s="14"/>
      <c r="B63" s="181" t="s">
        <v>599</v>
      </c>
      <c r="C63" s="184">
        <v>44567</v>
      </c>
      <c r="D63" s="181">
        <v>8725.5499999999993</v>
      </c>
      <c r="E63" s="212">
        <v>1</v>
      </c>
      <c r="F63" s="201"/>
      <c r="G63" s="212" t="s">
        <v>292</v>
      </c>
      <c r="H63" s="212">
        <v>5556.9334875799996</v>
      </c>
      <c r="I63" s="158"/>
      <c r="J63" s="152"/>
      <c r="K63" s="217"/>
      <c r="L63" s="217"/>
      <c r="M63" s="217"/>
      <c r="O63" s="230" t="s">
        <v>292</v>
      </c>
      <c r="P63" s="230">
        <v>5405.2161551500003</v>
      </c>
      <c r="Q63" s="228"/>
      <c r="R63" s="148" t="s">
        <v>426</v>
      </c>
      <c r="S63" s="242"/>
      <c r="T63" s="247"/>
      <c r="U63" s="247"/>
      <c r="V63" s="247"/>
      <c r="W63" s="247"/>
      <c r="X63" s="247"/>
      <c r="Y63" s="234"/>
      <c r="Z63" s="242" t="s">
        <v>670</v>
      </c>
      <c r="AA63" s="242">
        <v>0</v>
      </c>
      <c r="AB63" s="242">
        <v>0</v>
      </c>
      <c r="AC63" s="242">
        <v>0</v>
      </c>
      <c r="AD63" s="242">
        <v>0</v>
      </c>
      <c r="AE63" s="242">
        <v>0</v>
      </c>
      <c r="AF63" s="242"/>
      <c r="AG63" s="242" t="s">
        <v>660</v>
      </c>
      <c r="AH63" s="242">
        <v>0</v>
      </c>
      <c r="AI63" s="242">
        <v>0</v>
      </c>
      <c r="AJ63" s="242">
        <v>0</v>
      </c>
      <c r="AK63" s="242">
        <v>73</v>
      </c>
      <c r="AL63" s="242">
        <v>1</v>
      </c>
      <c r="AM63" s="234"/>
      <c r="AN63" s="242" t="s">
        <v>664</v>
      </c>
      <c r="AO63" s="242">
        <v>0</v>
      </c>
      <c r="AP63" s="242">
        <v>0</v>
      </c>
      <c r="AQ63" s="242">
        <v>0</v>
      </c>
      <c r="AR63" s="242">
        <v>0</v>
      </c>
      <c r="AS63" s="242">
        <v>1</v>
      </c>
      <c r="AT63" s="234"/>
      <c r="AU63" s="242" t="s">
        <v>664</v>
      </c>
      <c r="AV63" s="242">
        <v>0</v>
      </c>
      <c r="AW63" s="242">
        <v>0</v>
      </c>
      <c r="AX63" s="242">
        <v>0</v>
      </c>
      <c r="AY63" s="242">
        <v>0</v>
      </c>
      <c r="AZ63" s="242">
        <v>1</v>
      </c>
      <c r="BA63" s="234"/>
      <c r="BB63" s="242" t="s">
        <v>659</v>
      </c>
      <c r="BC63" s="242">
        <v>868700</v>
      </c>
      <c r="BD63" s="242">
        <v>3</v>
      </c>
      <c r="BE63" s="242">
        <v>2</v>
      </c>
      <c r="BF63" s="242">
        <v>9</v>
      </c>
      <c r="BG63" s="242">
        <v>1</v>
      </c>
      <c r="BH63" s="236" t="s">
        <v>659</v>
      </c>
      <c r="BI63" s="242">
        <v>0</v>
      </c>
      <c r="BJ63" s="242">
        <v>0</v>
      </c>
      <c r="BK63" s="242">
        <v>0</v>
      </c>
      <c r="BL63" s="242">
        <v>0</v>
      </c>
      <c r="BM63" s="242">
        <v>1</v>
      </c>
      <c r="BN63" s="242"/>
      <c r="BO63" s="240"/>
      <c r="BP63" s="252"/>
      <c r="BQ63" s="252"/>
      <c r="BR63" s="252"/>
    </row>
    <row r="64" spans="1:70" x14ac:dyDescent="0.25">
      <c r="A64" s="14"/>
      <c r="B64" s="181" t="s">
        <v>600</v>
      </c>
      <c r="C64" s="184">
        <v>44567</v>
      </c>
      <c r="D64" s="181">
        <v>3326</v>
      </c>
      <c r="E64" s="212">
        <v>1</v>
      </c>
      <c r="F64" s="201"/>
      <c r="G64" s="212" t="s">
        <v>78</v>
      </c>
      <c r="H64" s="212">
        <v>41952.914036859998</v>
      </c>
      <c r="I64" s="158"/>
      <c r="J64" s="3"/>
      <c r="K64" s="217"/>
      <c r="L64" s="217"/>
      <c r="M64" s="217"/>
      <c r="O64" s="230" t="s">
        <v>78</v>
      </c>
      <c r="P64" s="230">
        <v>40814.983840330002</v>
      </c>
      <c r="Q64" s="228"/>
      <c r="R64" s="152"/>
      <c r="S64" s="242"/>
      <c r="T64" s="247"/>
      <c r="U64" s="247"/>
      <c r="V64" s="247"/>
      <c r="W64" s="247"/>
      <c r="X64" s="247"/>
      <c r="Y64" s="234"/>
      <c r="Z64" s="242" t="s">
        <v>670</v>
      </c>
      <c r="AA64" s="242">
        <v>3329079930.98</v>
      </c>
      <c r="AB64" s="242">
        <v>3488</v>
      </c>
      <c r="AC64" s="242">
        <v>271</v>
      </c>
      <c r="AD64" s="242">
        <v>10231</v>
      </c>
      <c r="AE64" s="242">
        <v>1</v>
      </c>
      <c r="AF64" s="242"/>
      <c r="AG64" s="242" t="s">
        <v>661</v>
      </c>
      <c r="AH64" s="242">
        <v>0</v>
      </c>
      <c r="AI64" s="242">
        <v>0</v>
      </c>
      <c r="AJ64" s="242">
        <v>0</v>
      </c>
      <c r="AK64" s="242">
        <v>25</v>
      </c>
      <c r="AL64" s="242">
        <v>1</v>
      </c>
      <c r="AM64" s="234"/>
      <c r="AN64" s="242" t="s">
        <v>665</v>
      </c>
      <c r="AO64" s="242">
        <v>0</v>
      </c>
      <c r="AP64" s="242">
        <v>0</v>
      </c>
      <c r="AQ64" s="242">
        <v>0</v>
      </c>
      <c r="AR64" s="242">
        <v>0</v>
      </c>
      <c r="AS64" s="242">
        <v>1</v>
      </c>
      <c r="AT64" s="234"/>
      <c r="AU64" s="242" t="s">
        <v>665</v>
      </c>
      <c r="AV64" s="242">
        <v>0</v>
      </c>
      <c r="AW64" s="242">
        <v>0</v>
      </c>
      <c r="AX64" s="242">
        <v>0</v>
      </c>
      <c r="AY64" s="242">
        <v>0</v>
      </c>
      <c r="AZ64" s="242">
        <v>1</v>
      </c>
      <c r="BA64" s="234"/>
      <c r="BB64" s="242" t="s">
        <v>660</v>
      </c>
      <c r="BC64" s="242">
        <v>12603954.609999999</v>
      </c>
      <c r="BD64" s="242">
        <v>75</v>
      </c>
      <c r="BE64" s="242">
        <v>14</v>
      </c>
      <c r="BF64" s="242">
        <v>3002</v>
      </c>
      <c r="BG64" s="242">
        <v>1</v>
      </c>
      <c r="BH64" s="236" t="s">
        <v>660</v>
      </c>
      <c r="BI64" s="242">
        <v>0</v>
      </c>
      <c r="BJ64" s="242">
        <v>0</v>
      </c>
      <c r="BK64" s="242">
        <v>0</v>
      </c>
      <c r="BL64" s="242">
        <v>120</v>
      </c>
      <c r="BM64" s="242">
        <v>1</v>
      </c>
      <c r="BN64" s="242"/>
      <c r="BO64" s="236"/>
      <c r="BP64" s="236"/>
      <c r="BQ64" s="236"/>
      <c r="BR64" s="236"/>
    </row>
    <row r="65" spans="1:70" x14ac:dyDescent="0.25">
      <c r="A65" s="14"/>
      <c r="B65" s="181" t="s">
        <v>622</v>
      </c>
      <c r="C65" s="184">
        <v>44700</v>
      </c>
      <c r="D65" s="181">
        <v>2700</v>
      </c>
      <c r="E65" s="212">
        <v>1</v>
      </c>
      <c r="F65" s="201"/>
      <c r="G65" s="212" t="s">
        <v>297</v>
      </c>
      <c r="H65" s="212">
        <v>7982.8008223899997</v>
      </c>
      <c r="I65" s="158"/>
      <c r="J65" s="3"/>
      <c r="K65" s="217"/>
      <c r="L65" s="217"/>
      <c r="M65" s="217"/>
      <c r="O65" s="230" t="s">
        <v>297</v>
      </c>
      <c r="P65" s="230">
        <v>8198.4622153399996</v>
      </c>
      <c r="Q65" s="228"/>
      <c r="R65" s="152"/>
      <c r="S65" s="242"/>
      <c r="T65" s="247"/>
      <c r="U65" s="247"/>
      <c r="V65" s="247"/>
      <c r="W65" s="247"/>
      <c r="X65" s="247"/>
      <c r="Y65" s="234"/>
      <c r="Z65" s="242" t="s">
        <v>671</v>
      </c>
      <c r="AA65" s="242">
        <v>0</v>
      </c>
      <c r="AB65" s="242">
        <v>0</v>
      </c>
      <c r="AC65" s="242">
        <v>0</v>
      </c>
      <c r="AD65" s="242">
        <v>0</v>
      </c>
      <c r="AE65" s="242">
        <v>0</v>
      </c>
      <c r="AF65" s="242"/>
      <c r="AG65" s="242" t="s">
        <v>662</v>
      </c>
      <c r="AH65" s="242">
        <v>0</v>
      </c>
      <c r="AI65" s="242">
        <v>0</v>
      </c>
      <c r="AJ65" s="242">
        <v>0</v>
      </c>
      <c r="AK65" s="242">
        <v>0</v>
      </c>
      <c r="AL65" s="242">
        <v>1</v>
      </c>
      <c r="AM65" s="234"/>
      <c r="AN65" s="242" t="s">
        <v>666</v>
      </c>
      <c r="AO65" s="242">
        <v>6042000.0499999998</v>
      </c>
      <c r="AP65" s="242">
        <v>32</v>
      </c>
      <c r="AQ65" s="242">
        <v>22</v>
      </c>
      <c r="AR65" s="242">
        <v>1123</v>
      </c>
      <c r="AS65" s="242">
        <v>1</v>
      </c>
      <c r="AT65" s="234"/>
      <c r="AU65" s="242" t="s">
        <v>666</v>
      </c>
      <c r="AV65" s="242">
        <v>559500</v>
      </c>
      <c r="AW65" s="242">
        <v>3</v>
      </c>
      <c r="AX65" s="242">
        <v>3</v>
      </c>
      <c r="AY65" s="242">
        <v>68</v>
      </c>
      <c r="AZ65" s="242">
        <v>1</v>
      </c>
      <c r="BA65" s="234"/>
      <c r="BB65" s="242" t="s">
        <v>661</v>
      </c>
      <c r="BC65" s="242">
        <v>50098929.659999996</v>
      </c>
      <c r="BD65" s="242">
        <v>403</v>
      </c>
      <c r="BE65" s="242">
        <v>65</v>
      </c>
      <c r="BF65" s="242">
        <v>3370</v>
      </c>
      <c r="BG65" s="242">
        <v>1</v>
      </c>
      <c r="BH65" s="236" t="s">
        <v>661</v>
      </c>
      <c r="BI65" s="242">
        <v>0</v>
      </c>
      <c r="BJ65" s="242">
        <v>0</v>
      </c>
      <c r="BK65" s="242">
        <v>0</v>
      </c>
      <c r="BL65" s="242">
        <v>181</v>
      </c>
      <c r="BM65" s="242">
        <v>1</v>
      </c>
      <c r="BN65" s="242"/>
      <c r="BO65" s="245" t="s">
        <v>446</v>
      </c>
      <c r="BP65" s="253" t="s">
        <v>528</v>
      </c>
      <c r="BQ65" s="253" t="s">
        <v>635</v>
      </c>
      <c r="BR65" s="253" t="s">
        <v>636</v>
      </c>
    </row>
    <row r="66" spans="1:70" x14ac:dyDescent="0.25">
      <c r="A66" s="83"/>
      <c r="B66" s="181" t="s">
        <v>609</v>
      </c>
      <c r="C66" s="184">
        <v>44673</v>
      </c>
      <c r="D66" s="181">
        <v>36436.82</v>
      </c>
      <c r="E66" s="212">
        <v>1</v>
      </c>
      <c r="F66" s="209"/>
      <c r="G66" s="212" t="s">
        <v>542</v>
      </c>
      <c r="H66" s="212">
        <v>7273.1964000099997</v>
      </c>
      <c r="I66" s="158"/>
      <c r="J66" s="3"/>
      <c r="K66" s="217"/>
      <c r="L66" s="217"/>
      <c r="M66" s="217"/>
      <c r="O66" s="230" t="s">
        <v>542</v>
      </c>
      <c r="P66" s="230">
        <v>7370.7102198499997</v>
      </c>
      <c r="Q66" s="228"/>
      <c r="R66" s="152"/>
      <c r="S66" s="242"/>
      <c r="T66" s="247"/>
      <c r="U66" s="247"/>
      <c r="V66" s="247"/>
      <c r="W66" s="247"/>
      <c r="X66" s="247"/>
      <c r="Y66" s="234"/>
      <c r="Z66" s="242" t="s">
        <v>671</v>
      </c>
      <c r="AA66" s="242">
        <v>2925000</v>
      </c>
      <c r="AB66" s="242">
        <v>4</v>
      </c>
      <c r="AC66" s="242">
        <v>2</v>
      </c>
      <c r="AD66" s="242">
        <v>63</v>
      </c>
      <c r="AE66" s="242">
        <v>1</v>
      </c>
      <c r="AF66" s="242"/>
      <c r="AG66" s="242" t="s">
        <v>663</v>
      </c>
      <c r="AH66" s="242">
        <v>0</v>
      </c>
      <c r="AI66" s="242">
        <v>0</v>
      </c>
      <c r="AJ66" s="242">
        <v>0</v>
      </c>
      <c r="AK66" s="242">
        <v>0</v>
      </c>
      <c r="AL66" s="242">
        <v>1</v>
      </c>
      <c r="AM66" s="234"/>
      <c r="AN66" s="242" t="s">
        <v>667</v>
      </c>
      <c r="AO66" s="242">
        <v>22497510.5</v>
      </c>
      <c r="AP66" s="242">
        <v>180</v>
      </c>
      <c r="AQ66" s="242">
        <v>15</v>
      </c>
      <c r="AR66" s="242">
        <v>3596</v>
      </c>
      <c r="AS66" s="242">
        <v>1</v>
      </c>
      <c r="AT66" s="234"/>
      <c r="AU66" s="242" t="s">
        <v>667</v>
      </c>
      <c r="AV66" s="242">
        <v>2545323</v>
      </c>
      <c r="AW66" s="242">
        <v>22</v>
      </c>
      <c r="AX66" s="242">
        <v>1</v>
      </c>
      <c r="AY66" s="242">
        <v>184</v>
      </c>
      <c r="AZ66" s="242">
        <v>1</v>
      </c>
      <c r="BA66" s="234"/>
      <c r="BB66" s="242" t="s">
        <v>664</v>
      </c>
      <c r="BC66" s="242">
        <v>0</v>
      </c>
      <c r="BD66" s="242">
        <v>0</v>
      </c>
      <c r="BE66" s="242">
        <v>0</v>
      </c>
      <c r="BF66" s="242">
        <v>0</v>
      </c>
      <c r="BG66" s="242">
        <v>1</v>
      </c>
      <c r="BH66" s="236" t="s">
        <v>664</v>
      </c>
      <c r="BI66" s="242">
        <v>0</v>
      </c>
      <c r="BJ66" s="242">
        <v>0</v>
      </c>
      <c r="BK66" s="242">
        <v>0</v>
      </c>
      <c r="BL66" s="242">
        <v>0</v>
      </c>
      <c r="BM66" s="242">
        <v>1</v>
      </c>
      <c r="BN66" s="242"/>
      <c r="BO66" s="236"/>
      <c r="BP66" s="252"/>
      <c r="BQ66" s="252"/>
      <c r="BR66" s="252"/>
    </row>
    <row r="67" spans="1:70" x14ac:dyDescent="0.25">
      <c r="A67" s="83"/>
      <c r="B67" s="181" t="s">
        <v>620</v>
      </c>
      <c r="C67" s="184">
        <v>44711</v>
      </c>
      <c r="D67" s="181">
        <v>1135.6099999999999</v>
      </c>
      <c r="E67" s="212">
        <v>1</v>
      </c>
      <c r="F67" s="202"/>
      <c r="G67" s="212" t="s">
        <v>543</v>
      </c>
      <c r="H67" s="212">
        <v>8266.33667203</v>
      </c>
      <c r="I67" s="158"/>
      <c r="J67" s="3"/>
      <c r="K67" s="217"/>
      <c r="L67" s="217"/>
      <c r="M67" s="217"/>
      <c r="O67" s="230" t="s">
        <v>543</v>
      </c>
      <c r="P67" s="230">
        <v>8323.6293548499998</v>
      </c>
      <c r="Q67" s="228"/>
      <c r="R67" s="152"/>
      <c r="S67" s="242"/>
      <c r="T67" s="247"/>
      <c r="U67" s="247"/>
      <c r="V67" s="247"/>
      <c r="W67" s="247"/>
      <c r="X67" s="247"/>
      <c r="Y67" s="234"/>
      <c r="Z67" s="242" t="s">
        <v>672</v>
      </c>
      <c r="AA67" s="242">
        <v>0</v>
      </c>
      <c r="AB67" s="242">
        <v>0</v>
      </c>
      <c r="AC67" s="242">
        <v>0</v>
      </c>
      <c r="AD67" s="242">
        <v>0</v>
      </c>
      <c r="AE67" s="242">
        <v>0</v>
      </c>
      <c r="AF67" s="242"/>
      <c r="AG67" s="242" t="s">
        <v>664</v>
      </c>
      <c r="AH67" s="242">
        <v>0</v>
      </c>
      <c r="AI67" s="242">
        <v>0</v>
      </c>
      <c r="AJ67" s="242">
        <v>0</v>
      </c>
      <c r="AK67" s="242">
        <v>0</v>
      </c>
      <c r="AL67" s="242">
        <v>1</v>
      </c>
      <c r="AM67" s="234"/>
      <c r="AN67" s="242" t="s">
        <v>668</v>
      </c>
      <c r="AO67" s="242">
        <v>73081139.890000001</v>
      </c>
      <c r="AP67" s="242">
        <v>246</v>
      </c>
      <c r="AQ67" s="242">
        <v>75</v>
      </c>
      <c r="AR67" s="242">
        <v>3237</v>
      </c>
      <c r="AS67" s="242">
        <v>1</v>
      </c>
      <c r="AT67" s="234"/>
      <c r="AU67" s="242" t="s">
        <v>668</v>
      </c>
      <c r="AV67" s="242">
        <v>4500200</v>
      </c>
      <c r="AW67" s="242">
        <v>14</v>
      </c>
      <c r="AX67" s="242">
        <v>12</v>
      </c>
      <c r="AY67" s="242">
        <v>165</v>
      </c>
      <c r="AZ67" s="242">
        <v>1</v>
      </c>
      <c r="BA67" s="234"/>
      <c r="BB67" s="242" t="s">
        <v>665</v>
      </c>
      <c r="BC67" s="242">
        <v>0</v>
      </c>
      <c r="BD67" s="242">
        <v>0</v>
      </c>
      <c r="BE67" s="242">
        <v>0</v>
      </c>
      <c r="BF67" s="242">
        <v>0</v>
      </c>
      <c r="BG67" s="242">
        <v>1</v>
      </c>
      <c r="BH67" s="236" t="s">
        <v>665</v>
      </c>
      <c r="BI67" s="242">
        <v>0</v>
      </c>
      <c r="BJ67" s="242">
        <v>0</v>
      </c>
      <c r="BK67" s="242">
        <v>0</v>
      </c>
      <c r="BL67" s="242">
        <v>0</v>
      </c>
      <c r="BM67" s="242">
        <v>1</v>
      </c>
      <c r="BN67" s="242"/>
      <c r="BO67" s="236"/>
      <c r="BP67" s="236"/>
      <c r="BQ67" s="236"/>
      <c r="BR67" s="236"/>
    </row>
    <row r="68" spans="1:70" x14ac:dyDescent="0.25">
      <c r="A68" s="83"/>
      <c r="B68" s="181" t="s">
        <v>381</v>
      </c>
      <c r="C68" s="184">
        <v>38006</v>
      </c>
      <c r="D68" s="181">
        <v>106.83</v>
      </c>
      <c r="E68" s="212">
        <v>1</v>
      </c>
      <c r="F68" s="202"/>
      <c r="G68" s="212" t="s">
        <v>544</v>
      </c>
      <c r="H68" s="212">
        <v>6073.8683931699998</v>
      </c>
      <c r="I68" s="158"/>
      <c r="J68" s="3"/>
      <c r="K68" s="217"/>
      <c r="L68" s="217"/>
      <c r="M68" s="217"/>
      <c r="O68" s="230" t="s">
        <v>544</v>
      </c>
      <c r="P68" s="230">
        <v>6097.8707655600001</v>
      </c>
      <c r="Q68" s="228"/>
      <c r="R68" s="152"/>
      <c r="S68" s="242"/>
      <c r="T68" s="247"/>
      <c r="U68" s="247"/>
      <c r="V68" s="247"/>
      <c r="W68" s="247"/>
      <c r="X68" s="247"/>
      <c r="Y68" s="234"/>
      <c r="Z68" s="242" t="s">
        <v>672</v>
      </c>
      <c r="AA68" s="242">
        <v>9454065</v>
      </c>
      <c r="AB68" s="242">
        <v>13</v>
      </c>
      <c r="AC68" s="242">
        <v>6</v>
      </c>
      <c r="AD68" s="242">
        <v>87</v>
      </c>
      <c r="AE68" s="242">
        <v>1</v>
      </c>
      <c r="AF68" s="242"/>
      <c r="AG68" s="242" t="s">
        <v>665</v>
      </c>
      <c r="AH68" s="242">
        <v>0</v>
      </c>
      <c r="AI68" s="242">
        <v>0</v>
      </c>
      <c r="AJ68" s="242">
        <v>0</v>
      </c>
      <c r="AK68" s="242">
        <v>0</v>
      </c>
      <c r="AL68" s="242">
        <v>1</v>
      </c>
      <c r="AM68" s="234"/>
      <c r="AN68" s="242" t="s">
        <v>669</v>
      </c>
      <c r="AO68" s="242">
        <v>20057106608.25</v>
      </c>
      <c r="AP68" s="242">
        <v>43574</v>
      </c>
      <c r="AQ68" s="242">
        <v>4171</v>
      </c>
      <c r="AR68" s="242">
        <v>178151</v>
      </c>
      <c r="AS68" s="242">
        <v>1</v>
      </c>
      <c r="AT68" s="234"/>
      <c r="AU68" s="242" t="s">
        <v>669</v>
      </c>
      <c r="AV68" s="242">
        <v>2938219345.4050002</v>
      </c>
      <c r="AW68" s="242">
        <v>6063</v>
      </c>
      <c r="AX68" s="242">
        <v>308</v>
      </c>
      <c r="AY68" s="242">
        <v>10649</v>
      </c>
      <c r="AZ68" s="242">
        <v>1</v>
      </c>
      <c r="BA68" s="234"/>
      <c r="BB68" s="242" t="s">
        <v>666</v>
      </c>
      <c r="BC68" s="242">
        <v>3337500</v>
      </c>
      <c r="BD68" s="242">
        <v>17</v>
      </c>
      <c r="BE68" s="242">
        <v>6</v>
      </c>
      <c r="BF68" s="242">
        <v>2172</v>
      </c>
      <c r="BG68" s="242">
        <v>1</v>
      </c>
      <c r="BH68" s="236" t="s">
        <v>666</v>
      </c>
      <c r="BI68" s="242">
        <v>196250</v>
      </c>
      <c r="BJ68" s="242">
        <v>1</v>
      </c>
      <c r="BK68" s="242">
        <v>1</v>
      </c>
      <c r="BL68" s="242">
        <v>102</v>
      </c>
      <c r="BM68" s="242">
        <v>1</v>
      </c>
      <c r="BN68" s="242"/>
      <c r="BO68" s="245" t="s">
        <v>447</v>
      </c>
      <c r="BP68" s="253" t="s">
        <v>528</v>
      </c>
      <c r="BQ68" s="253" t="s">
        <v>635</v>
      </c>
      <c r="BR68" s="253" t="s">
        <v>636</v>
      </c>
    </row>
    <row r="69" spans="1:70" x14ac:dyDescent="0.25">
      <c r="A69" s="83"/>
      <c r="B69" s="181" t="s">
        <v>389</v>
      </c>
      <c r="C69" s="184">
        <v>38713</v>
      </c>
      <c r="D69" s="181">
        <v>137.76</v>
      </c>
      <c r="E69" s="212">
        <v>1</v>
      </c>
      <c r="F69" s="202"/>
      <c r="G69" s="212" t="s">
        <v>309</v>
      </c>
      <c r="H69" s="212">
        <v>76.917682110000001</v>
      </c>
      <c r="I69" s="158"/>
      <c r="J69" s="3"/>
      <c r="K69" s="217"/>
      <c r="L69" s="217"/>
      <c r="M69" s="217"/>
      <c r="O69" s="230" t="s">
        <v>309</v>
      </c>
      <c r="P69" s="230">
        <v>71.414883630000006</v>
      </c>
      <c r="Q69" s="228"/>
      <c r="R69" s="152"/>
      <c r="S69" s="242"/>
      <c r="T69" s="247"/>
      <c r="U69" s="247"/>
      <c r="V69" s="247"/>
      <c r="W69" s="247"/>
      <c r="X69" s="247"/>
      <c r="Y69" s="234"/>
      <c r="Z69" s="242" t="s">
        <v>673</v>
      </c>
      <c r="AA69" s="242">
        <v>0</v>
      </c>
      <c r="AB69" s="242">
        <v>0</v>
      </c>
      <c r="AC69" s="242">
        <v>0</v>
      </c>
      <c r="AD69" s="242">
        <v>0</v>
      </c>
      <c r="AE69" s="242">
        <v>0</v>
      </c>
      <c r="AF69" s="242"/>
      <c r="AG69" s="242" t="s">
        <v>666</v>
      </c>
      <c r="AH69" s="242">
        <v>510975</v>
      </c>
      <c r="AI69" s="242">
        <v>3</v>
      </c>
      <c r="AJ69" s="242">
        <v>1</v>
      </c>
      <c r="AK69" s="242">
        <v>33</v>
      </c>
      <c r="AL69" s="242">
        <v>1</v>
      </c>
      <c r="AM69" s="234"/>
      <c r="AN69" s="242" t="s">
        <v>670</v>
      </c>
      <c r="AO69" s="242">
        <v>3323606776.0500002</v>
      </c>
      <c r="AP69" s="242">
        <v>3561</v>
      </c>
      <c r="AQ69" s="242">
        <v>226</v>
      </c>
      <c r="AR69" s="242">
        <v>9376</v>
      </c>
      <c r="AS69" s="242">
        <v>1</v>
      </c>
      <c r="AT69" s="234"/>
      <c r="AU69" s="242" t="s">
        <v>670</v>
      </c>
      <c r="AV69" s="242">
        <v>232482755.09999999</v>
      </c>
      <c r="AW69" s="242">
        <v>233</v>
      </c>
      <c r="AX69" s="242">
        <v>6</v>
      </c>
      <c r="AY69" s="242">
        <v>465</v>
      </c>
      <c r="AZ69" s="242">
        <v>1</v>
      </c>
      <c r="BA69" s="234"/>
      <c r="BB69" s="242" t="s">
        <v>667</v>
      </c>
      <c r="BC69" s="242">
        <v>43458671</v>
      </c>
      <c r="BD69" s="242">
        <v>315</v>
      </c>
      <c r="BE69" s="242">
        <v>55</v>
      </c>
      <c r="BF69" s="242">
        <v>3551</v>
      </c>
      <c r="BG69" s="242">
        <v>1</v>
      </c>
      <c r="BH69" s="236" t="s">
        <v>667</v>
      </c>
      <c r="BI69" s="242">
        <v>1549975</v>
      </c>
      <c r="BJ69" s="242">
        <v>11</v>
      </c>
      <c r="BK69" s="242">
        <v>4</v>
      </c>
      <c r="BL69" s="242">
        <v>188</v>
      </c>
      <c r="BM69" s="242">
        <v>1</v>
      </c>
      <c r="BN69" s="242"/>
      <c r="BO69" s="236"/>
      <c r="BP69" s="252"/>
      <c r="BQ69" s="252"/>
      <c r="BR69" s="252"/>
    </row>
    <row r="70" spans="1:70" x14ac:dyDescent="0.25">
      <c r="A70" s="83"/>
      <c r="B70" s="181" t="s">
        <v>394</v>
      </c>
      <c r="C70" s="184">
        <v>42129</v>
      </c>
      <c r="D70" s="181">
        <v>1211.2244297899999</v>
      </c>
      <c r="E70" s="212">
        <v>1</v>
      </c>
      <c r="F70" s="201"/>
      <c r="G70" s="212" t="s">
        <v>310</v>
      </c>
      <c r="H70" s="212">
        <v>136.71896828999999</v>
      </c>
      <c r="I70" s="158"/>
      <c r="J70" s="3"/>
      <c r="K70" s="217"/>
      <c r="L70" s="217"/>
      <c r="M70" s="217"/>
      <c r="O70" s="230" t="s">
        <v>310</v>
      </c>
      <c r="P70" s="230">
        <v>146.33247784</v>
      </c>
      <c r="Q70" s="228"/>
      <c r="R70" s="152"/>
      <c r="S70" s="242"/>
      <c r="T70" s="247"/>
      <c r="U70" s="247"/>
      <c r="V70" s="247"/>
      <c r="W70" s="247"/>
      <c r="X70" s="247"/>
      <c r="Y70" s="234"/>
      <c r="Z70" s="242" t="s">
        <v>673</v>
      </c>
      <c r="AA70" s="242">
        <v>14010560</v>
      </c>
      <c r="AB70" s="242">
        <v>180</v>
      </c>
      <c r="AC70" s="242">
        <v>30</v>
      </c>
      <c r="AD70" s="242">
        <v>4177</v>
      </c>
      <c r="AE70" s="242">
        <v>1</v>
      </c>
      <c r="AF70" s="242"/>
      <c r="AG70" s="242" t="s">
        <v>667</v>
      </c>
      <c r="AH70" s="242">
        <v>0</v>
      </c>
      <c r="AI70" s="242">
        <v>0</v>
      </c>
      <c r="AJ70" s="242">
        <v>0</v>
      </c>
      <c r="AK70" s="242">
        <v>94</v>
      </c>
      <c r="AL70" s="242">
        <v>1</v>
      </c>
      <c r="AM70" s="234"/>
      <c r="AN70" s="242" t="s">
        <v>671</v>
      </c>
      <c r="AO70" s="242">
        <v>53910299.880000003</v>
      </c>
      <c r="AP70" s="242">
        <v>71</v>
      </c>
      <c r="AQ70" s="242">
        <v>9</v>
      </c>
      <c r="AR70" s="242">
        <v>345</v>
      </c>
      <c r="AS70" s="242">
        <v>1</v>
      </c>
      <c r="AT70" s="234"/>
      <c r="AU70" s="242" t="s">
        <v>671</v>
      </c>
      <c r="AV70" s="242">
        <v>0</v>
      </c>
      <c r="AW70" s="242">
        <v>0</v>
      </c>
      <c r="AX70" s="242">
        <v>0</v>
      </c>
      <c r="AY70" s="242">
        <v>3</v>
      </c>
      <c r="AZ70" s="242">
        <v>1</v>
      </c>
      <c r="BA70" s="234"/>
      <c r="BB70" s="242" t="s">
        <v>668</v>
      </c>
      <c r="BC70" s="242">
        <v>30566805.039999999</v>
      </c>
      <c r="BD70" s="242">
        <v>157</v>
      </c>
      <c r="BE70" s="242">
        <v>63</v>
      </c>
      <c r="BF70" s="242">
        <v>1044</v>
      </c>
      <c r="BG70" s="242">
        <v>1</v>
      </c>
      <c r="BH70" s="236" t="s">
        <v>668</v>
      </c>
      <c r="BI70" s="242">
        <v>0</v>
      </c>
      <c r="BJ70" s="242">
        <v>0</v>
      </c>
      <c r="BK70" s="242">
        <v>0</v>
      </c>
      <c r="BL70" s="242">
        <v>42</v>
      </c>
      <c r="BM70" s="242">
        <v>1</v>
      </c>
      <c r="BN70" s="242"/>
      <c r="BO70" s="234"/>
      <c r="BP70" s="234"/>
      <c r="BQ70" s="234"/>
      <c r="BR70" s="234"/>
    </row>
    <row r="71" spans="1:70" x14ac:dyDescent="0.25">
      <c r="A71" s="14"/>
      <c r="B71" s="181" t="s">
        <v>395</v>
      </c>
      <c r="C71" s="184">
        <v>42552</v>
      </c>
      <c r="D71" s="181">
        <v>532.75119029999996</v>
      </c>
      <c r="E71" s="212">
        <v>1</v>
      </c>
      <c r="F71" s="201"/>
      <c r="G71" s="212" t="s">
        <v>311</v>
      </c>
      <c r="H71" s="212">
        <v>48.419024180000001</v>
      </c>
      <c r="I71" s="158"/>
      <c r="J71" s="3"/>
      <c r="K71" s="217"/>
      <c r="L71" s="217"/>
      <c r="M71" s="217"/>
      <c r="O71" s="230" t="s">
        <v>311</v>
      </c>
      <c r="P71" s="230">
        <v>46.0372342</v>
      </c>
      <c r="Q71" s="228"/>
      <c r="R71" s="152"/>
      <c r="S71" s="242"/>
      <c r="T71" s="247"/>
      <c r="U71" s="247"/>
      <c r="V71" s="247"/>
      <c r="W71" s="247"/>
      <c r="X71" s="247"/>
      <c r="Y71" s="234"/>
      <c r="Z71" s="242" t="s">
        <v>674</v>
      </c>
      <c r="AA71" s="242">
        <v>0</v>
      </c>
      <c r="AB71" s="242">
        <v>0</v>
      </c>
      <c r="AC71" s="242">
        <v>0</v>
      </c>
      <c r="AD71" s="242">
        <v>0</v>
      </c>
      <c r="AE71" s="242">
        <v>0</v>
      </c>
      <c r="AF71" s="242"/>
      <c r="AG71" s="242" t="s">
        <v>668</v>
      </c>
      <c r="AH71" s="242">
        <v>1304900</v>
      </c>
      <c r="AI71" s="242">
        <v>4</v>
      </c>
      <c r="AJ71" s="242">
        <v>1</v>
      </c>
      <c r="AK71" s="242">
        <v>91</v>
      </c>
      <c r="AL71" s="242">
        <v>1</v>
      </c>
      <c r="AM71" s="234"/>
      <c r="AN71" s="242" t="s">
        <v>672</v>
      </c>
      <c r="AO71" s="242">
        <v>40159000</v>
      </c>
      <c r="AP71" s="242">
        <v>60</v>
      </c>
      <c r="AQ71" s="242">
        <v>8</v>
      </c>
      <c r="AR71" s="242">
        <v>160</v>
      </c>
      <c r="AS71" s="242">
        <v>1</v>
      </c>
      <c r="AT71" s="234"/>
      <c r="AU71" s="242" t="s">
        <v>672</v>
      </c>
      <c r="AV71" s="242">
        <v>0</v>
      </c>
      <c r="AW71" s="242">
        <v>0</v>
      </c>
      <c r="AX71" s="242">
        <v>0</v>
      </c>
      <c r="AY71" s="242">
        <v>4</v>
      </c>
      <c r="AZ71" s="242">
        <v>1</v>
      </c>
      <c r="BA71" s="234"/>
      <c r="BB71" s="242" t="s">
        <v>669</v>
      </c>
      <c r="BC71" s="242">
        <v>19094732691.689999</v>
      </c>
      <c r="BD71" s="242">
        <v>51007</v>
      </c>
      <c r="BE71" s="242">
        <v>4016</v>
      </c>
      <c r="BF71" s="242">
        <v>375757</v>
      </c>
      <c r="BG71" s="242">
        <v>1</v>
      </c>
      <c r="BH71" s="236" t="s">
        <v>669</v>
      </c>
      <c r="BI71" s="242">
        <v>671708530.11000001</v>
      </c>
      <c r="BJ71" s="242">
        <v>1846</v>
      </c>
      <c r="BK71" s="242">
        <v>121</v>
      </c>
      <c r="BL71" s="242">
        <v>20259</v>
      </c>
      <c r="BM71" s="242">
        <v>1</v>
      </c>
      <c r="BN71" s="242"/>
      <c r="BO71" s="245" t="s">
        <v>464</v>
      </c>
      <c r="BP71" s="253"/>
      <c r="BQ71" s="253"/>
      <c r="BR71" s="236"/>
    </row>
    <row r="72" spans="1:70" x14ac:dyDescent="0.25">
      <c r="A72" s="145"/>
      <c r="B72" s="181" t="s">
        <v>400</v>
      </c>
      <c r="C72" s="184">
        <v>40478</v>
      </c>
      <c r="D72" s="181">
        <v>148.34</v>
      </c>
      <c r="E72" s="212">
        <v>1</v>
      </c>
      <c r="F72" s="202"/>
      <c r="G72" s="212" t="s">
        <v>312</v>
      </c>
      <c r="H72" s="212">
        <v>82.478035340000005</v>
      </c>
      <c r="I72" s="158"/>
      <c r="J72" s="3"/>
      <c r="K72" s="217"/>
      <c r="L72" s="217"/>
      <c r="M72" s="217"/>
      <c r="O72" s="230" t="s">
        <v>312</v>
      </c>
      <c r="P72" s="230">
        <v>90.402597459999996</v>
      </c>
      <c r="Q72" s="228"/>
      <c r="R72" s="152"/>
      <c r="S72" s="242"/>
      <c r="T72" s="247"/>
      <c r="U72" s="247"/>
      <c r="V72" s="247"/>
      <c r="W72" s="247"/>
      <c r="X72" s="247"/>
      <c r="Y72" s="234"/>
      <c r="Z72" s="242" t="s">
        <v>674</v>
      </c>
      <c r="AA72" s="242">
        <v>8910401.9199999999</v>
      </c>
      <c r="AB72" s="242">
        <v>409</v>
      </c>
      <c r="AC72" s="242">
        <v>10</v>
      </c>
      <c r="AD72" s="242">
        <v>11056</v>
      </c>
      <c r="AE72" s="242">
        <v>1</v>
      </c>
      <c r="AF72" s="242"/>
      <c r="AG72" s="242" t="s">
        <v>669</v>
      </c>
      <c r="AH72" s="242">
        <v>1335960703.0150001</v>
      </c>
      <c r="AI72" s="242">
        <v>2850</v>
      </c>
      <c r="AJ72" s="242">
        <v>262</v>
      </c>
      <c r="AK72" s="242">
        <v>21743</v>
      </c>
      <c r="AL72" s="242">
        <v>1</v>
      </c>
      <c r="AM72" s="234"/>
      <c r="AN72" s="242" t="s">
        <v>673</v>
      </c>
      <c r="AO72" s="242">
        <v>23278474.5</v>
      </c>
      <c r="AP72" s="242">
        <v>286</v>
      </c>
      <c r="AQ72" s="242">
        <v>16</v>
      </c>
      <c r="AR72" s="242">
        <v>3828</v>
      </c>
      <c r="AS72" s="242">
        <v>1</v>
      </c>
      <c r="AT72" s="234"/>
      <c r="AU72" s="242" t="s">
        <v>673</v>
      </c>
      <c r="AV72" s="242">
        <v>762500</v>
      </c>
      <c r="AW72" s="242">
        <v>10</v>
      </c>
      <c r="AX72" s="242">
        <v>1</v>
      </c>
      <c r="AY72" s="242">
        <v>218</v>
      </c>
      <c r="AZ72" s="242">
        <v>1</v>
      </c>
      <c r="BA72" s="234"/>
      <c r="BB72" s="242" t="s">
        <v>670</v>
      </c>
      <c r="BC72" s="242">
        <v>1067201722.88</v>
      </c>
      <c r="BD72" s="242">
        <v>1353</v>
      </c>
      <c r="BE72" s="242">
        <v>229</v>
      </c>
      <c r="BF72" s="242">
        <v>13175</v>
      </c>
      <c r="BG72" s="242">
        <v>1</v>
      </c>
      <c r="BH72" s="236" t="s">
        <v>670</v>
      </c>
      <c r="BI72" s="242">
        <v>6592390</v>
      </c>
      <c r="BJ72" s="242">
        <v>9</v>
      </c>
      <c r="BK72" s="242">
        <v>6</v>
      </c>
      <c r="BL72" s="242">
        <v>652</v>
      </c>
      <c r="BM72" s="242">
        <v>1</v>
      </c>
      <c r="BN72" s="242"/>
      <c r="BO72" s="236"/>
      <c r="BP72" s="252"/>
      <c r="BQ72" s="252"/>
      <c r="BR72" s="236"/>
    </row>
    <row r="73" spans="1:70" x14ac:dyDescent="0.25">
      <c r="A73" s="83"/>
      <c r="B73" s="181" t="s">
        <v>409</v>
      </c>
      <c r="C73" s="184">
        <v>42550</v>
      </c>
      <c r="D73" s="181">
        <v>130.66139737</v>
      </c>
      <c r="E73" s="212">
        <v>1</v>
      </c>
      <c r="F73" s="202"/>
      <c r="G73" s="212" t="s">
        <v>521</v>
      </c>
      <c r="H73" s="212">
        <v>22195.160398029999</v>
      </c>
      <c r="I73" s="158"/>
      <c r="J73" s="3"/>
      <c r="K73" s="217"/>
      <c r="L73" s="217"/>
      <c r="M73" s="217"/>
      <c r="O73" s="230" t="s">
        <v>521</v>
      </c>
      <c r="P73" s="230">
        <v>21038.358524349998</v>
      </c>
      <c r="Q73" s="228"/>
      <c r="R73" s="152"/>
      <c r="S73" s="236"/>
      <c r="T73" s="236"/>
      <c r="U73" s="236"/>
      <c r="V73" s="236"/>
      <c r="W73" s="236"/>
      <c r="X73" s="236"/>
      <c r="Y73" s="234"/>
      <c r="Z73" s="242" t="s">
        <v>675</v>
      </c>
      <c r="AA73" s="242">
        <v>6627800</v>
      </c>
      <c r="AB73" s="242">
        <v>352</v>
      </c>
      <c r="AC73" s="242">
        <v>33</v>
      </c>
      <c r="AD73" s="242">
        <v>21367</v>
      </c>
      <c r="AE73" s="242">
        <v>0</v>
      </c>
      <c r="AF73" s="242"/>
      <c r="AG73" s="242" t="s">
        <v>670</v>
      </c>
      <c r="AH73" s="242">
        <v>300680341.86000001</v>
      </c>
      <c r="AI73" s="242">
        <v>310</v>
      </c>
      <c r="AJ73" s="242">
        <v>14</v>
      </c>
      <c r="AK73" s="242">
        <v>699</v>
      </c>
      <c r="AL73" s="242">
        <v>1</v>
      </c>
      <c r="AM73" s="234"/>
      <c r="AN73" s="242" t="s">
        <v>674</v>
      </c>
      <c r="AO73" s="242">
        <v>20122845.120000001</v>
      </c>
      <c r="AP73" s="242">
        <v>900</v>
      </c>
      <c r="AQ73" s="242">
        <v>7</v>
      </c>
      <c r="AR73" s="242">
        <v>9453</v>
      </c>
      <c r="AS73" s="242">
        <v>1</v>
      </c>
      <c r="AT73" s="234"/>
      <c r="AU73" s="242" t="s">
        <v>674</v>
      </c>
      <c r="AV73" s="242">
        <v>0</v>
      </c>
      <c r="AW73" s="242">
        <v>0</v>
      </c>
      <c r="AX73" s="242">
        <v>0</v>
      </c>
      <c r="AY73" s="242">
        <v>497</v>
      </c>
      <c r="AZ73" s="242">
        <v>1</v>
      </c>
      <c r="BA73" s="234"/>
      <c r="BB73" s="242" t="s">
        <v>671</v>
      </c>
      <c r="BC73" s="242">
        <v>125018600</v>
      </c>
      <c r="BD73" s="242">
        <v>201</v>
      </c>
      <c r="BE73" s="242">
        <v>22</v>
      </c>
      <c r="BF73" s="242">
        <v>9462</v>
      </c>
      <c r="BG73" s="242">
        <v>1</v>
      </c>
      <c r="BH73" s="236" t="s">
        <v>671</v>
      </c>
      <c r="BI73" s="242">
        <v>0</v>
      </c>
      <c r="BJ73" s="242">
        <v>0</v>
      </c>
      <c r="BK73" s="242">
        <v>0</v>
      </c>
      <c r="BL73" s="242">
        <v>444</v>
      </c>
      <c r="BM73" s="242">
        <v>1</v>
      </c>
      <c r="BN73" s="242"/>
      <c r="BO73" s="236"/>
      <c r="BP73" s="252"/>
      <c r="BQ73" s="252"/>
      <c r="BR73" s="236"/>
    </row>
    <row r="74" spans="1:70" x14ac:dyDescent="0.25">
      <c r="A74" s="83"/>
      <c r="B74" s="181" t="s">
        <v>417</v>
      </c>
      <c r="C74" s="184">
        <v>39604</v>
      </c>
      <c r="D74" s="181">
        <v>233.37</v>
      </c>
      <c r="E74" s="212">
        <v>1</v>
      </c>
      <c r="F74" s="202"/>
      <c r="G74" s="212" t="s">
        <v>522</v>
      </c>
      <c r="H74" s="212">
        <v>7691.3147374500004</v>
      </c>
      <c r="I74" s="158"/>
      <c r="J74" s="3"/>
      <c r="K74" s="217"/>
      <c r="L74" s="217"/>
      <c r="M74" s="217"/>
      <c r="O74" s="230" t="s">
        <v>522</v>
      </c>
      <c r="P74" s="230">
        <v>7714.7027685599996</v>
      </c>
      <c r="Q74" s="228"/>
      <c r="R74" s="152"/>
      <c r="S74" s="236"/>
      <c r="T74" s="236"/>
      <c r="U74" s="236"/>
      <c r="V74" s="236"/>
      <c r="W74" s="236"/>
      <c r="X74" s="236"/>
      <c r="Y74" s="234"/>
      <c r="Z74" s="242" t="s">
        <v>675</v>
      </c>
      <c r="AA74" s="242">
        <v>10550396279.98</v>
      </c>
      <c r="AB74" s="242">
        <v>19609</v>
      </c>
      <c r="AC74" s="242">
        <v>2808</v>
      </c>
      <c r="AD74" s="242">
        <v>115756</v>
      </c>
      <c r="AE74" s="242">
        <v>1</v>
      </c>
      <c r="AF74" s="242"/>
      <c r="AG74" s="242" t="s">
        <v>671</v>
      </c>
      <c r="AH74" s="242">
        <v>0</v>
      </c>
      <c r="AI74" s="242">
        <v>0</v>
      </c>
      <c r="AJ74" s="242">
        <v>0</v>
      </c>
      <c r="AK74" s="242">
        <v>3</v>
      </c>
      <c r="AL74" s="242">
        <v>1</v>
      </c>
      <c r="AM74" s="234"/>
      <c r="AN74" s="242" t="s">
        <v>675</v>
      </c>
      <c r="AO74" s="242">
        <v>8496939996.2250004</v>
      </c>
      <c r="AP74" s="242">
        <v>15866</v>
      </c>
      <c r="AQ74" s="242">
        <v>2898</v>
      </c>
      <c r="AR74" s="242">
        <v>84848</v>
      </c>
      <c r="AS74" s="242">
        <v>1</v>
      </c>
      <c r="AT74" s="234"/>
      <c r="AU74" s="242" t="s">
        <v>675</v>
      </c>
      <c r="AV74" s="242">
        <v>696541591.23500001</v>
      </c>
      <c r="AW74" s="242">
        <v>1309</v>
      </c>
      <c r="AX74" s="242">
        <v>87</v>
      </c>
      <c r="AY74" s="242">
        <v>4914</v>
      </c>
      <c r="AZ74" s="242">
        <v>1</v>
      </c>
      <c r="BA74" s="234"/>
      <c r="BB74" s="242" t="s">
        <v>672</v>
      </c>
      <c r="BC74" s="242">
        <v>199432290.84</v>
      </c>
      <c r="BD74" s="242">
        <v>386</v>
      </c>
      <c r="BE74" s="242">
        <v>15</v>
      </c>
      <c r="BF74" s="242">
        <v>14331</v>
      </c>
      <c r="BG74" s="242">
        <v>1</v>
      </c>
      <c r="BH74" s="236" t="s">
        <v>672</v>
      </c>
      <c r="BI74" s="242">
        <v>0</v>
      </c>
      <c r="BJ74" s="242">
        <v>0</v>
      </c>
      <c r="BK74" s="242">
        <v>0</v>
      </c>
      <c r="BL74" s="242">
        <v>664</v>
      </c>
      <c r="BM74" s="242">
        <v>1</v>
      </c>
      <c r="BN74" s="242"/>
      <c r="BO74" s="236"/>
      <c r="BP74" s="252"/>
      <c r="BQ74" s="236"/>
      <c r="BR74" s="236"/>
    </row>
    <row r="75" spans="1:70" x14ac:dyDescent="0.25">
      <c r="A75" s="83"/>
      <c r="B75" s="181" t="s">
        <v>207</v>
      </c>
      <c r="C75" s="184">
        <v>38713</v>
      </c>
      <c r="D75" s="181">
        <v>20229.37</v>
      </c>
      <c r="E75" s="212">
        <v>1</v>
      </c>
      <c r="F75" s="208"/>
      <c r="G75" s="212" t="s">
        <v>523</v>
      </c>
      <c r="H75" s="212">
        <v>4489.6263256100001</v>
      </c>
      <c r="I75" s="158"/>
      <c r="J75" s="3"/>
      <c r="K75" s="217"/>
      <c r="L75" s="217"/>
      <c r="M75" s="217"/>
      <c r="O75" s="230" t="s">
        <v>523</v>
      </c>
      <c r="P75" s="230">
        <v>4706.1323811800003</v>
      </c>
      <c r="Q75" s="228"/>
      <c r="S75" s="243"/>
      <c r="T75" s="246"/>
      <c r="U75" s="246"/>
      <c r="V75" s="246"/>
      <c r="W75" s="246"/>
      <c r="X75" s="246"/>
      <c r="Y75" s="234"/>
      <c r="Z75" s="242" t="s">
        <v>676</v>
      </c>
      <c r="AA75" s="242">
        <v>119416169.2</v>
      </c>
      <c r="AB75" s="242">
        <v>7367</v>
      </c>
      <c r="AC75" s="242">
        <v>818</v>
      </c>
      <c r="AD75" s="242">
        <v>475229</v>
      </c>
      <c r="AE75" s="242">
        <v>0</v>
      </c>
      <c r="AF75" s="242"/>
      <c r="AG75" s="242" t="s">
        <v>672</v>
      </c>
      <c r="AH75" s="242">
        <v>0</v>
      </c>
      <c r="AI75" s="242">
        <v>0</v>
      </c>
      <c r="AJ75" s="242">
        <v>0</v>
      </c>
      <c r="AK75" s="242">
        <v>7</v>
      </c>
      <c r="AL75" s="242">
        <v>1</v>
      </c>
      <c r="AM75" s="234"/>
      <c r="AN75" s="242" t="s">
        <v>676</v>
      </c>
      <c r="AO75" s="242">
        <v>19622799119.259998</v>
      </c>
      <c r="AP75" s="242">
        <v>46325</v>
      </c>
      <c r="AQ75" s="242">
        <v>10147</v>
      </c>
      <c r="AR75" s="242">
        <v>424553</v>
      </c>
      <c r="AS75" s="242">
        <v>1</v>
      </c>
      <c r="AT75" s="234"/>
      <c r="AU75" s="242" t="s">
        <v>676</v>
      </c>
      <c r="AV75" s="242">
        <v>1184880787.71</v>
      </c>
      <c r="AW75" s="242">
        <v>2592</v>
      </c>
      <c r="AX75" s="242">
        <v>622</v>
      </c>
      <c r="AY75" s="242">
        <v>24568</v>
      </c>
      <c r="AZ75" s="242">
        <v>1</v>
      </c>
      <c r="BA75" s="234"/>
      <c r="BB75" s="242" t="s">
        <v>673</v>
      </c>
      <c r="BC75" s="242">
        <v>62216878</v>
      </c>
      <c r="BD75" s="242">
        <v>855</v>
      </c>
      <c r="BE75" s="242">
        <v>55</v>
      </c>
      <c r="BF75" s="242">
        <v>12603</v>
      </c>
      <c r="BG75" s="242">
        <v>1</v>
      </c>
      <c r="BH75" s="236" t="s">
        <v>673</v>
      </c>
      <c r="BI75" s="242">
        <v>0</v>
      </c>
      <c r="BJ75" s="242">
        <v>0</v>
      </c>
      <c r="BK75" s="242">
        <v>0</v>
      </c>
      <c r="BL75" s="242">
        <v>470</v>
      </c>
      <c r="BM75" s="242">
        <v>1</v>
      </c>
      <c r="BN75" s="242"/>
      <c r="BO75" s="245" t="s">
        <v>448</v>
      </c>
      <c r="BP75" s="253" t="s">
        <v>634</v>
      </c>
      <c r="BQ75" s="253" t="s">
        <v>635</v>
      </c>
      <c r="BR75" s="253" t="s">
        <v>636</v>
      </c>
    </row>
    <row r="76" spans="1:70" x14ac:dyDescent="0.25">
      <c r="B76" s="181" t="s">
        <v>211</v>
      </c>
      <c r="C76" s="184">
        <v>38677</v>
      </c>
      <c r="D76" s="181">
        <v>28766.959999999999</v>
      </c>
      <c r="E76" s="212">
        <v>1</v>
      </c>
      <c r="F76" s="198"/>
      <c r="G76" s="212" t="s">
        <v>520</v>
      </c>
      <c r="H76" s="212">
        <v>43361.109437970001</v>
      </c>
      <c r="I76" s="158"/>
      <c r="J76" s="3"/>
      <c r="K76" s="217"/>
      <c r="L76" s="217"/>
      <c r="M76" s="217"/>
      <c r="O76" s="230" t="s">
        <v>520</v>
      </c>
      <c r="P76" s="230">
        <v>41956.284213760002</v>
      </c>
      <c r="Q76" s="228"/>
      <c r="R76" s="152"/>
      <c r="S76" s="242"/>
      <c r="T76" s="247"/>
      <c r="U76" s="247"/>
      <c r="V76" s="247"/>
      <c r="W76" s="247"/>
      <c r="X76" s="247"/>
      <c r="Y76" s="234"/>
      <c r="Z76" s="242" t="s">
        <v>676</v>
      </c>
      <c r="AA76" s="242">
        <v>25844604402.400002</v>
      </c>
      <c r="AB76" s="242">
        <v>56061</v>
      </c>
      <c r="AC76" s="242">
        <v>12157</v>
      </c>
      <c r="AD76" s="242">
        <v>529627</v>
      </c>
      <c r="AE76" s="242">
        <v>1</v>
      </c>
      <c r="AF76" s="242"/>
      <c r="AG76" s="242" t="s">
        <v>673</v>
      </c>
      <c r="AH76" s="242">
        <v>1580650</v>
      </c>
      <c r="AI76" s="242">
        <v>20</v>
      </c>
      <c r="AJ76" s="242">
        <v>4</v>
      </c>
      <c r="AK76" s="242">
        <v>198</v>
      </c>
      <c r="AL76" s="242">
        <v>1</v>
      </c>
      <c r="AM76" s="234"/>
      <c r="AN76" s="242" t="s">
        <v>678</v>
      </c>
      <c r="AO76" s="242">
        <v>20748479520.75</v>
      </c>
      <c r="AP76" s="242">
        <v>47602</v>
      </c>
      <c r="AQ76" s="242">
        <v>7860</v>
      </c>
      <c r="AR76" s="242">
        <v>459758</v>
      </c>
      <c r="AS76" s="242">
        <v>1</v>
      </c>
      <c r="AT76" s="234"/>
      <c r="AU76" s="242" t="s">
        <v>678</v>
      </c>
      <c r="AV76" s="242">
        <v>1053834238.4</v>
      </c>
      <c r="AW76" s="242">
        <v>2252</v>
      </c>
      <c r="AX76" s="242">
        <v>505</v>
      </c>
      <c r="AY76" s="242">
        <v>26471</v>
      </c>
      <c r="AZ76" s="242">
        <v>1</v>
      </c>
      <c r="BA76" s="234"/>
      <c r="BB76" s="242" t="s">
        <v>674</v>
      </c>
      <c r="BC76" s="242">
        <v>7171923.3600000003</v>
      </c>
      <c r="BD76" s="242">
        <v>366</v>
      </c>
      <c r="BE76" s="242">
        <v>9</v>
      </c>
      <c r="BF76" s="242">
        <v>915</v>
      </c>
      <c r="BG76" s="242">
        <v>1</v>
      </c>
      <c r="BH76" s="234" t="s">
        <v>674</v>
      </c>
      <c r="BI76" s="242">
        <v>0</v>
      </c>
      <c r="BJ76" s="242">
        <v>0</v>
      </c>
      <c r="BK76" s="242">
        <v>0</v>
      </c>
      <c r="BL76" s="242">
        <v>20</v>
      </c>
      <c r="BM76" s="242">
        <v>1</v>
      </c>
      <c r="BN76" s="242"/>
      <c r="BO76" s="236"/>
      <c r="BP76" s="252">
        <v>511356414000.15247</v>
      </c>
      <c r="BQ76" s="252">
        <v>1266309</v>
      </c>
      <c r="BR76" s="252">
        <v>191990</v>
      </c>
    </row>
    <row r="77" spans="1:70" x14ac:dyDescent="0.25">
      <c r="B77" s="181" t="s">
        <v>212</v>
      </c>
      <c r="C77" s="184">
        <v>37432</v>
      </c>
      <c r="D77" s="181">
        <v>30613.119999999999</v>
      </c>
      <c r="E77" s="212">
        <v>1</v>
      </c>
      <c r="F77" s="198"/>
      <c r="G77" s="212" t="s">
        <v>545</v>
      </c>
      <c r="H77" s="212">
        <v>1130.7451345699999</v>
      </c>
      <c r="I77" s="158"/>
      <c r="J77" s="3"/>
      <c r="K77" s="217"/>
      <c r="L77" s="217"/>
      <c r="M77" s="217"/>
      <c r="O77" s="230" t="s">
        <v>545</v>
      </c>
      <c r="P77" s="230">
        <v>1137.05411856</v>
      </c>
      <c r="Q77" s="228"/>
      <c r="R77" s="152"/>
      <c r="S77" s="242"/>
      <c r="T77" s="247"/>
      <c r="U77" s="247"/>
      <c r="V77" s="247"/>
      <c r="W77" s="247"/>
      <c r="X77" s="247"/>
      <c r="Y77" s="234"/>
      <c r="Z77" s="242" t="s">
        <v>677</v>
      </c>
      <c r="AA77" s="242">
        <v>0</v>
      </c>
      <c r="AB77" s="242">
        <v>0</v>
      </c>
      <c r="AC77" s="242">
        <v>0</v>
      </c>
      <c r="AD77" s="242">
        <v>0</v>
      </c>
      <c r="AE77" s="242">
        <v>0</v>
      </c>
      <c r="AF77" s="242"/>
      <c r="AG77" s="242" t="s">
        <v>674</v>
      </c>
      <c r="AH77" s="242">
        <v>955382.4</v>
      </c>
      <c r="AI77" s="242">
        <v>42</v>
      </c>
      <c r="AJ77" s="242">
        <v>1</v>
      </c>
      <c r="AK77" s="242">
        <v>568</v>
      </c>
      <c r="AL77" s="242">
        <v>1</v>
      </c>
      <c r="AM77" s="234"/>
      <c r="AN77" s="242"/>
      <c r="AO77" s="242"/>
      <c r="AP77" s="242"/>
      <c r="AQ77" s="242"/>
      <c r="AR77" s="242"/>
      <c r="AS77" s="242"/>
      <c r="AT77" s="234"/>
      <c r="AU77" s="242"/>
      <c r="AV77" s="242"/>
      <c r="AW77" s="242"/>
      <c r="AX77" s="242"/>
      <c r="AY77" s="242"/>
      <c r="AZ77" s="242"/>
      <c r="BA77" s="234"/>
      <c r="BB77" s="242" t="s">
        <v>675</v>
      </c>
      <c r="BC77" s="242">
        <v>9558675193.7849903</v>
      </c>
      <c r="BD77" s="242">
        <v>21310</v>
      </c>
      <c r="BE77" s="242">
        <v>2665</v>
      </c>
      <c r="BF77" s="242">
        <v>115807</v>
      </c>
      <c r="BG77" s="242">
        <v>1</v>
      </c>
      <c r="BH77" s="234" t="s">
        <v>675</v>
      </c>
      <c r="BI77" s="242">
        <v>1082355370.01</v>
      </c>
      <c r="BJ77" s="242">
        <v>2461</v>
      </c>
      <c r="BK77" s="242">
        <v>91</v>
      </c>
      <c r="BL77" s="242">
        <v>6003</v>
      </c>
      <c r="BM77" s="242">
        <v>1</v>
      </c>
      <c r="BN77" s="242"/>
      <c r="BO77" s="236"/>
      <c r="BP77" s="236"/>
      <c r="BQ77" s="236"/>
      <c r="BR77" s="236"/>
    </row>
    <row r="78" spans="1:70" x14ac:dyDescent="0.25">
      <c r="A78" s="144"/>
      <c r="B78" s="181" t="s">
        <v>214</v>
      </c>
      <c r="C78" s="184">
        <v>38715</v>
      </c>
      <c r="D78" s="181">
        <v>17673.63</v>
      </c>
      <c r="E78" s="212">
        <v>1</v>
      </c>
      <c r="F78" s="198"/>
      <c r="G78" s="212" t="s">
        <v>517</v>
      </c>
      <c r="H78" s="212">
        <v>26152.037933380001</v>
      </c>
      <c r="I78" s="158"/>
      <c r="J78" s="63"/>
      <c r="K78" s="217"/>
      <c r="L78" s="217"/>
      <c r="M78" s="217"/>
      <c r="O78" s="230" t="s">
        <v>517</v>
      </c>
      <c r="P78" s="230">
        <v>28021.157317599998</v>
      </c>
      <c r="Q78" s="228"/>
      <c r="R78" s="152"/>
      <c r="S78" s="242"/>
      <c r="T78" s="247"/>
      <c r="U78" s="247"/>
      <c r="V78" s="247"/>
      <c r="W78" s="247"/>
      <c r="X78" s="247"/>
      <c r="Y78" s="234"/>
      <c r="Z78" s="242" t="s">
        <v>677</v>
      </c>
      <c r="AA78" s="242">
        <v>0</v>
      </c>
      <c r="AB78" s="242">
        <v>0</v>
      </c>
      <c r="AC78" s="242">
        <v>0</v>
      </c>
      <c r="AD78" s="242">
        <v>0</v>
      </c>
      <c r="AE78" s="242">
        <v>1</v>
      </c>
      <c r="AF78" s="242"/>
      <c r="AG78" s="242" t="s">
        <v>675</v>
      </c>
      <c r="AH78" s="242">
        <v>715260717.57000005</v>
      </c>
      <c r="AI78" s="242">
        <v>1290</v>
      </c>
      <c r="AJ78" s="242">
        <v>97</v>
      </c>
      <c r="AK78" s="242">
        <v>6540</v>
      </c>
      <c r="AL78" s="242">
        <v>1</v>
      </c>
      <c r="AM78" s="234"/>
      <c r="AN78" s="242"/>
      <c r="AO78" s="242"/>
      <c r="AP78" s="242"/>
      <c r="AQ78" s="242"/>
      <c r="AR78" s="242"/>
      <c r="AS78" s="242"/>
      <c r="AT78" s="234"/>
      <c r="AU78" s="242"/>
      <c r="AV78" s="242"/>
      <c r="AW78" s="242"/>
      <c r="AX78" s="242"/>
      <c r="AY78" s="242"/>
      <c r="AZ78" s="242"/>
      <c r="BA78" s="234"/>
      <c r="BB78" s="242" t="s">
        <v>676</v>
      </c>
      <c r="BC78" s="242">
        <v>26026577757.37999</v>
      </c>
      <c r="BD78" s="242">
        <v>77848</v>
      </c>
      <c r="BE78" s="242">
        <v>12282</v>
      </c>
      <c r="BF78" s="242">
        <v>615289</v>
      </c>
      <c r="BG78" s="242">
        <v>1</v>
      </c>
      <c r="BH78" s="234" t="s">
        <v>676</v>
      </c>
      <c r="BI78" s="242">
        <v>903033796.14999998</v>
      </c>
      <c r="BJ78" s="242">
        <v>2900</v>
      </c>
      <c r="BK78" s="242">
        <v>605</v>
      </c>
      <c r="BL78" s="242">
        <v>29304</v>
      </c>
      <c r="BM78" s="242">
        <v>1</v>
      </c>
      <c r="BN78" s="242"/>
      <c r="BO78" s="245" t="s">
        <v>467</v>
      </c>
      <c r="BP78" s="253" t="s">
        <v>634</v>
      </c>
      <c r="BQ78" s="253" t="s">
        <v>635</v>
      </c>
      <c r="BR78" s="253" t="s">
        <v>636</v>
      </c>
    </row>
    <row r="79" spans="1:70" x14ac:dyDescent="0.25">
      <c r="A79" s="144"/>
      <c r="B79" s="181" t="s">
        <v>217</v>
      </c>
      <c r="C79" s="184">
        <v>38604</v>
      </c>
      <c r="D79" s="181">
        <v>28742.13</v>
      </c>
      <c r="E79" s="212">
        <v>1</v>
      </c>
      <c r="F79" s="198"/>
      <c r="G79" s="212" t="s">
        <v>519</v>
      </c>
      <c r="H79" s="212">
        <v>77531.451713350005</v>
      </c>
      <c r="I79" s="158"/>
      <c r="J79" s="63"/>
      <c r="K79" s="217"/>
      <c r="L79" s="217"/>
      <c r="M79" s="217"/>
      <c r="O79" s="230" t="s">
        <v>519</v>
      </c>
      <c r="P79" s="230">
        <v>78504.696105709998</v>
      </c>
      <c r="Q79" s="228"/>
      <c r="R79" s="152"/>
      <c r="S79" s="242"/>
      <c r="T79" s="247"/>
      <c r="U79" s="247"/>
      <c r="V79" s="247"/>
      <c r="W79" s="247"/>
      <c r="X79" s="247"/>
      <c r="Y79" s="234"/>
      <c r="Z79" s="242" t="s">
        <v>678</v>
      </c>
      <c r="AA79" s="242">
        <v>283554673.27999997</v>
      </c>
      <c r="AB79" s="242">
        <v>5417</v>
      </c>
      <c r="AC79" s="242">
        <v>246</v>
      </c>
      <c r="AD79" s="242">
        <v>322425</v>
      </c>
      <c r="AE79" s="242">
        <v>0</v>
      </c>
      <c r="AF79" s="242"/>
      <c r="AG79" s="242" t="s">
        <v>676</v>
      </c>
      <c r="AH79" s="242">
        <v>1471871591.3199999</v>
      </c>
      <c r="AI79" s="242">
        <v>3152</v>
      </c>
      <c r="AJ79" s="242">
        <v>645</v>
      </c>
      <c r="AK79" s="242">
        <v>24252</v>
      </c>
      <c r="AL79" s="242">
        <v>1</v>
      </c>
      <c r="AM79" s="234"/>
      <c r="AN79" s="242"/>
      <c r="AO79" s="242"/>
      <c r="AP79" s="242"/>
      <c r="AQ79" s="242"/>
      <c r="AR79" s="242"/>
      <c r="AS79" s="242"/>
      <c r="AT79" s="234"/>
      <c r="AU79" s="242"/>
      <c r="AV79" s="242"/>
      <c r="AW79" s="242"/>
      <c r="AX79" s="242"/>
      <c r="AY79" s="242"/>
      <c r="AZ79" s="242"/>
      <c r="BA79" s="234"/>
      <c r="BB79" s="242" t="s">
        <v>677</v>
      </c>
      <c r="BC79" s="242">
        <v>0</v>
      </c>
      <c r="BD79" s="242">
        <v>0</v>
      </c>
      <c r="BE79" s="242">
        <v>0</v>
      </c>
      <c r="BF79" s="242">
        <v>0</v>
      </c>
      <c r="BG79" s="242">
        <v>1</v>
      </c>
      <c r="BH79" s="234" t="s">
        <v>677</v>
      </c>
      <c r="BI79" s="242">
        <v>0</v>
      </c>
      <c r="BJ79" s="242">
        <v>0</v>
      </c>
      <c r="BK79" s="242">
        <v>0</v>
      </c>
      <c r="BL79" s="242">
        <v>0</v>
      </c>
      <c r="BM79" s="242">
        <v>1</v>
      </c>
      <c r="BN79" s="242"/>
      <c r="BO79" s="240"/>
      <c r="BP79" s="252">
        <v>2623524975.9000001</v>
      </c>
      <c r="BQ79" s="252">
        <v>122716</v>
      </c>
      <c r="BR79" s="252">
        <v>8777</v>
      </c>
    </row>
    <row r="80" spans="1:70" x14ac:dyDescent="0.25">
      <c r="A80" s="144"/>
      <c r="B80" s="181" t="s">
        <v>220</v>
      </c>
      <c r="C80" s="184">
        <v>38709</v>
      </c>
      <c r="D80" s="181">
        <v>2183.41</v>
      </c>
      <c r="E80" s="212">
        <v>1</v>
      </c>
      <c r="F80" s="198"/>
      <c r="G80" s="212" t="s">
        <v>515</v>
      </c>
      <c r="H80" s="212">
        <v>34060.230823329999</v>
      </c>
      <c r="I80" s="158"/>
      <c r="J80" s="3"/>
      <c r="K80" s="217"/>
      <c r="L80" s="217"/>
      <c r="M80" s="217"/>
      <c r="O80" s="230" t="s">
        <v>515</v>
      </c>
      <c r="P80" s="230">
        <v>34265.597947169997</v>
      </c>
      <c r="Q80" s="228"/>
      <c r="R80" s="148" t="s">
        <v>427</v>
      </c>
      <c r="S80" s="242"/>
      <c r="T80" s="247"/>
      <c r="U80" s="247"/>
      <c r="V80" s="247"/>
      <c r="W80" s="247"/>
      <c r="X80" s="247"/>
      <c r="Y80" s="234"/>
      <c r="Z80" s="234" t="s">
        <v>678</v>
      </c>
      <c r="AA80" s="234">
        <v>26853679682.59</v>
      </c>
      <c r="AB80" s="234">
        <v>56983</v>
      </c>
      <c r="AC80" s="234">
        <v>9786</v>
      </c>
      <c r="AD80" s="234">
        <v>564588</v>
      </c>
      <c r="AE80" s="234">
        <v>1</v>
      </c>
      <c r="AF80" s="234"/>
      <c r="AG80" s="234" t="s">
        <v>677</v>
      </c>
      <c r="AH80" s="234">
        <v>0</v>
      </c>
      <c r="AI80" s="234">
        <v>0</v>
      </c>
      <c r="AJ80" s="234">
        <v>0</v>
      </c>
      <c r="AK80" s="234">
        <v>0</v>
      </c>
      <c r="AL80" s="234">
        <v>1</v>
      </c>
      <c r="AM80" s="234"/>
      <c r="AN80" s="234"/>
      <c r="AO80" s="234"/>
      <c r="AP80" s="234"/>
      <c r="AQ80" s="234"/>
      <c r="AR80" s="234"/>
      <c r="AS80" s="234"/>
      <c r="AT80" s="234"/>
      <c r="AU80" s="234"/>
      <c r="AV80" s="234"/>
      <c r="AW80" s="234"/>
      <c r="AX80" s="234"/>
      <c r="AY80" s="234"/>
      <c r="AZ80" s="234"/>
      <c r="BA80" s="234"/>
      <c r="BB80" s="234" t="s">
        <v>678</v>
      </c>
      <c r="BC80" s="234">
        <v>30961313907.57</v>
      </c>
      <c r="BD80" s="234">
        <v>88169</v>
      </c>
      <c r="BE80" s="234">
        <v>11173</v>
      </c>
      <c r="BF80" s="234">
        <v>697456</v>
      </c>
      <c r="BG80" s="234">
        <v>1</v>
      </c>
      <c r="BH80" s="234" t="s">
        <v>678</v>
      </c>
      <c r="BI80" s="234">
        <v>919641148.84000003</v>
      </c>
      <c r="BJ80" s="234">
        <v>2805</v>
      </c>
      <c r="BK80" s="234">
        <v>434</v>
      </c>
      <c r="BL80" s="234">
        <v>34760</v>
      </c>
      <c r="BM80" s="234">
        <v>1</v>
      </c>
      <c r="BN80" s="234"/>
      <c r="BO80" s="236"/>
      <c r="BP80" s="236"/>
      <c r="BQ80" s="236"/>
      <c r="BR80" s="236"/>
    </row>
    <row r="81" spans="1:70" x14ac:dyDescent="0.25">
      <c r="A81" s="144"/>
      <c r="B81" s="181" t="s">
        <v>229</v>
      </c>
      <c r="C81" s="184">
        <v>38699</v>
      </c>
      <c r="D81" s="181">
        <v>28328.49</v>
      </c>
      <c r="E81" s="212">
        <v>1</v>
      </c>
      <c r="F81" s="198"/>
      <c r="G81" s="212" t="s">
        <v>514</v>
      </c>
      <c r="H81" s="212">
        <v>55181.500940569997</v>
      </c>
      <c r="I81" s="158"/>
      <c r="J81" s="3"/>
      <c r="K81" s="217"/>
      <c r="L81" s="217"/>
      <c r="M81" s="217"/>
      <c r="O81" s="230" t="s">
        <v>514</v>
      </c>
      <c r="P81" s="230">
        <v>55482.183492550001</v>
      </c>
      <c r="Q81" s="228"/>
      <c r="R81" s="152"/>
      <c r="S81" s="242"/>
      <c r="T81" s="247"/>
      <c r="U81" s="247"/>
      <c r="V81" s="247"/>
      <c r="W81" s="247"/>
      <c r="X81" s="247"/>
      <c r="Y81" s="234"/>
      <c r="Z81" s="234" t="s">
        <v>679</v>
      </c>
      <c r="AA81" s="234">
        <v>0</v>
      </c>
      <c r="AB81" s="234">
        <v>0</v>
      </c>
      <c r="AC81" s="234">
        <v>0</v>
      </c>
      <c r="AD81" s="234">
        <v>0</v>
      </c>
      <c r="AE81" s="234">
        <v>0</v>
      </c>
      <c r="AF81" s="234"/>
      <c r="AG81" s="234" t="s">
        <v>678</v>
      </c>
      <c r="AH81" s="234">
        <v>1483871928.3599999</v>
      </c>
      <c r="AI81" s="234">
        <v>3149</v>
      </c>
      <c r="AJ81" s="234">
        <v>571</v>
      </c>
      <c r="AK81" s="234">
        <v>25814</v>
      </c>
      <c r="AL81" s="234">
        <v>1</v>
      </c>
      <c r="AM81" s="234"/>
      <c r="AN81" s="234"/>
      <c r="AO81" s="234"/>
      <c r="AP81" s="234"/>
      <c r="AQ81" s="234"/>
      <c r="AR81" s="234"/>
      <c r="AS81" s="234"/>
      <c r="AT81" s="234"/>
      <c r="AU81" s="234"/>
      <c r="AV81" s="234"/>
      <c r="AW81" s="234"/>
      <c r="AX81" s="234"/>
      <c r="AY81" s="234"/>
      <c r="AZ81" s="234"/>
      <c r="BA81" s="234"/>
      <c r="BB81" s="234" t="s">
        <v>679</v>
      </c>
      <c r="BC81" s="234">
        <v>0</v>
      </c>
      <c r="BD81" s="234">
        <v>0</v>
      </c>
      <c r="BE81" s="234">
        <v>0</v>
      </c>
      <c r="BF81" s="234">
        <v>0</v>
      </c>
      <c r="BG81" s="234">
        <v>1</v>
      </c>
      <c r="BH81" s="234" t="s">
        <v>679</v>
      </c>
      <c r="BI81" s="234">
        <v>0</v>
      </c>
      <c r="BJ81" s="234">
        <v>0</v>
      </c>
      <c r="BK81" s="234">
        <v>0</v>
      </c>
      <c r="BL81" s="234">
        <v>0</v>
      </c>
      <c r="BM81" s="234">
        <v>1</v>
      </c>
      <c r="BN81" s="234"/>
      <c r="BO81" s="245" t="s">
        <v>449</v>
      </c>
      <c r="BP81" s="253" t="s">
        <v>634</v>
      </c>
      <c r="BQ81" s="253" t="s">
        <v>635</v>
      </c>
      <c r="BR81" s="253" t="s">
        <v>636</v>
      </c>
    </row>
    <row r="82" spans="1:70" x14ac:dyDescent="0.25">
      <c r="A82" s="144"/>
      <c r="B82" s="181" t="s">
        <v>231</v>
      </c>
      <c r="C82" s="184">
        <v>38709</v>
      </c>
      <c r="D82" s="181">
        <v>1445.21</v>
      </c>
      <c r="E82" s="212">
        <v>1</v>
      </c>
      <c r="F82" s="198"/>
      <c r="G82" s="212" t="s">
        <v>513</v>
      </c>
      <c r="H82" s="212">
        <v>38715.698567660002</v>
      </c>
      <c r="I82" s="158"/>
      <c r="J82" s="152"/>
      <c r="K82" s="217"/>
      <c r="L82" s="217"/>
      <c r="M82" s="217"/>
      <c r="O82" s="230" t="s">
        <v>513</v>
      </c>
      <c r="P82" s="230">
        <v>39811.523100680002</v>
      </c>
      <c r="Q82" s="228"/>
      <c r="R82" s="152"/>
      <c r="S82" s="242"/>
      <c r="T82" s="247"/>
      <c r="U82" s="247"/>
      <c r="V82" s="247"/>
      <c r="W82" s="247"/>
      <c r="X82" s="247"/>
      <c r="Y82" s="234"/>
      <c r="Z82" s="234" t="s">
        <v>679</v>
      </c>
      <c r="AA82" s="234">
        <v>0</v>
      </c>
      <c r="AB82" s="234">
        <v>0</v>
      </c>
      <c r="AC82" s="234">
        <v>0</v>
      </c>
      <c r="AD82" s="234">
        <v>0</v>
      </c>
      <c r="AE82" s="234">
        <v>1</v>
      </c>
      <c r="AF82" s="234"/>
      <c r="AG82" s="234" t="s">
        <v>679</v>
      </c>
      <c r="AH82" s="234">
        <v>0</v>
      </c>
      <c r="AI82" s="234">
        <v>0</v>
      </c>
      <c r="AJ82" s="234">
        <v>0</v>
      </c>
      <c r="AK82" s="234">
        <v>0</v>
      </c>
      <c r="AL82" s="234">
        <v>1</v>
      </c>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6"/>
      <c r="BP82" s="252">
        <v>422847629938.67249</v>
      </c>
      <c r="BQ82" s="252">
        <v>1291527</v>
      </c>
      <c r="BR82" s="252">
        <v>183473</v>
      </c>
    </row>
    <row r="83" spans="1:70" x14ac:dyDescent="0.25">
      <c r="A83" s="14"/>
      <c r="B83" s="181" t="s">
        <v>240</v>
      </c>
      <c r="C83" s="184">
        <v>38713</v>
      </c>
      <c r="D83" s="181">
        <v>1547.81</v>
      </c>
      <c r="E83" s="212">
        <v>1</v>
      </c>
      <c r="F83" s="201"/>
      <c r="G83" s="212" t="s">
        <v>313</v>
      </c>
      <c r="H83" s="212">
        <v>65431.159094989998</v>
      </c>
      <c r="I83" s="158"/>
      <c r="J83" s="152"/>
      <c r="K83" s="217"/>
      <c r="L83" s="217"/>
      <c r="M83" s="217"/>
      <c r="O83" s="230" t="s">
        <v>313</v>
      </c>
      <c r="P83" s="230">
        <v>65475.547606870001</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250</v>
      </c>
      <c r="C84" s="184">
        <v>44622</v>
      </c>
      <c r="D84" s="181">
        <v>5066.9148220400002</v>
      </c>
      <c r="E84" s="212">
        <v>1</v>
      </c>
      <c r="F84" s="202"/>
      <c r="G84" s="212" t="s">
        <v>314</v>
      </c>
      <c r="H84" s="212">
        <v>4513.31764277</v>
      </c>
      <c r="I84" s="158"/>
      <c r="J84" s="152"/>
      <c r="K84" s="217"/>
      <c r="L84" s="217"/>
      <c r="M84" s="217"/>
      <c r="O84" s="230" t="s">
        <v>314</v>
      </c>
      <c r="P84" s="230">
        <v>4449.9883788200004</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450</v>
      </c>
      <c r="BP84" s="253" t="s">
        <v>634</v>
      </c>
      <c r="BQ84" s="253" t="s">
        <v>635</v>
      </c>
      <c r="BR84" s="253" t="s">
        <v>636</v>
      </c>
    </row>
    <row r="85" spans="1:70" x14ac:dyDescent="0.25">
      <c r="A85" s="144"/>
      <c r="B85" s="181" t="s">
        <v>251</v>
      </c>
      <c r="C85" s="184">
        <v>44622</v>
      </c>
      <c r="D85" s="181">
        <v>4917.8630104100002</v>
      </c>
      <c r="E85" s="212">
        <v>1</v>
      </c>
      <c r="F85" s="202"/>
      <c r="G85" s="212" t="s">
        <v>315</v>
      </c>
      <c r="H85" s="212">
        <v>72094.865317410004</v>
      </c>
      <c r="I85" s="158"/>
      <c r="J85" s="152"/>
      <c r="K85" s="217"/>
      <c r="L85" s="217"/>
      <c r="M85" s="217"/>
      <c r="O85" s="230" t="s">
        <v>315</v>
      </c>
      <c r="P85" s="230">
        <v>72438.250301570006</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2680919929.73</v>
      </c>
      <c r="BQ85" s="252">
        <v>124012</v>
      </c>
      <c r="BR85" s="252">
        <v>9374</v>
      </c>
    </row>
    <row r="86" spans="1:70" x14ac:dyDescent="0.25">
      <c r="A86" s="144"/>
      <c r="B86" s="181" t="s">
        <v>62</v>
      </c>
      <c r="C86" s="184">
        <v>44039</v>
      </c>
      <c r="D86" s="181">
        <v>6662.4654347699998</v>
      </c>
      <c r="E86" s="212">
        <v>1</v>
      </c>
      <c r="F86" s="202"/>
      <c r="G86" s="212" t="s">
        <v>316</v>
      </c>
      <c r="H86" s="212">
        <v>14137.36053858</v>
      </c>
      <c r="I86" s="158"/>
      <c r="J86" s="152"/>
      <c r="K86" s="217"/>
      <c r="L86" s="217"/>
      <c r="M86" s="217"/>
      <c r="O86" s="230" t="s">
        <v>316</v>
      </c>
      <c r="P86" s="230">
        <v>14077.103820079999</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254</v>
      </c>
      <c r="C87" s="184">
        <v>38009</v>
      </c>
      <c r="D87" s="181">
        <v>999.63</v>
      </c>
      <c r="E87" s="212">
        <v>1</v>
      </c>
      <c r="F87" s="202"/>
      <c r="G87" s="212" t="s">
        <v>546</v>
      </c>
      <c r="H87" s="212">
        <v>20150.264118480001</v>
      </c>
      <c r="I87" s="158"/>
      <c r="J87" s="152"/>
      <c r="K87" s="217"/>
      <c r="L87" s="217"/>
      <c r="M87" s="217"/>
      <c r="O87" s="230" t="s">
        <v>546</v>
      </c>
      <c r="P87" s="230">
        <v>19960.186606570001</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465</v>
      </c>
      <c r="BP87" s="253" t="s">
        <v>637</v>
      </c>
      <c r="BQ87" s="234"/>
      <c r="BR87" s="234"/>
    </row>
    <row r="88" spans="1:70" x14ac:dyDescent="0.25">
      <c r="A88" s="146"/>
      <c r="B88" s="181" t="s">
        <v>626</v>
      </c>
      <c r="C88" s="184">
        <v>42118</v>
      </c>
      <c r="D88" s="181">
        <v>1238.74</v>
      </c>
      <c r="E88" s="212">
        <v>1</v>
      </c>
      <c r="F88" s="198"/>
      <c r="G88" s="212" t="s">
        <v>547</v>
      </c>
      <c r="H88" s="212">
        <v>20977.337745569999</v>
      </c>
      <c r="I88" s="158"/>
      <c r="J88" s="152"/>
      <c r="K88" s="217"/>
      <c r="L88" s="217"/>
      <c r="M88" s="217"/>
      <c r="O88" s="230" t="s">
        <v>547</v>
      </c>
      <c r="P88" s="230">
        <v>20891.078315580002</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129912</v>
      </c>
      <c r="BQ88" s="234"/>
      <c r="BR88" s="234"/>
    </row>
    <row r="89" spans="1:70" x14ac:dyDescent="0.25">
      <c r="A89" s="14"/>
      <c r="B89" s="181" t="s">
        <v>261</v>
      </c>
      <c r="C89" s="184">
        <v>43348</v>
      </c>
      <c r="D89" s="181">
        <v>421.77493391000002</v>
      </c>
      <c r="E89" s="212">
        <v>1</v>
      </c>
      <c r="F89" s="198"/>
      <c r="G89" s="212" t="s">
        <v>317</v>
      </c>
      <c r="H89" s="212">
        <v>995.99238350999997</v>
      </c>
      <c r="I89" s="158"/>
      <c r="J89" s="152"/>
      <c r="K89" s="217"/>
      <c r="L89" s="217"/>
      <c r="M89" s="217"/>
      <c r="O89" s="230" t="s">
        <v>317</v>
      </c>
      <c r="P89" s="230">
        <v>1017.56879112</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268</v>
      </c>
      <c r="C90" s="184">
        <v>41411</v>
      </c>
      <c r="D90" s="181">
        <v>2240.63</v>
      </c>
      <c r="E90" s="212">
        <v>1</v>
      </c>
      <c r="F90" s="202"/>
      <c r="G90" s="212" t="s">
        <v>319</v>
      </c>
      <c r="H90" s="212">
        <v>4504.6123435400004</v>
      </c>
      <c r="I90" s="158"/>
      <c r="J90" s="152"/>
      <c r="K90" s="217"/>
      <c r="L90" s="217"/>
      <c r="M90" s="217"/>
      <c r="O90" s="230" t="s">
        <v>319</v>
      </c>
      <c r="P90" s="230">
        <v>4524.8112821100003</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466</v>
      </c>
      <c r="BP90" s="253" t="s">
        <v>637</v>
      </c>
      <c r="BQ90" s="234"/>
      <c r="BR90" s="234"/>
    </row>
    <row r="91" spans="1:70" x14ac:dyDescent="0.25">
      <c r="A91" s="144"/>
      <c r="B91" s="181" t="s">
        <v>94</v>
      </c>
      <c r="C91" s="184">
        <v>44622</v>
      </c>
      <c r="D91" s="181">
        <v>50476.602841729997</v>
      </c>
      <c r="E91" s="212">
        <v>1</v>
      </c>
      <c r="F91" s="202"/>
      <c r="G91" s="212" t="s">
        <v>320</v>
      </c>
      <c r="H91" s="212">
        <v>12748.6502912</v>
      </c>
      <c r="I91" s="158"/>
      <c r="J91" s="152"/>
      <c r="K91" s="217"/>
      <c r="L91" s="217"/>
      <c r="M91" s="217"/>
      <c r="O91" s="230" t="s">
        <v>320</v>
      </c>
      <c r="P91" s="230">
        <v>12603.74167707</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58749</v>
      </c>
      <c r="BQ91" s="234"/>
      <c r="BR91" s="234"/>
    </row>
    <row r="92" spans="1:70" x14ac:dyDescent="0.25">
      <c r="A92" s="144"/>
      <c r="B92" s="181" t="s">
        <v>281</v>
      </c>
      <c r="C92" s="184">
        <v>44622</v>
      </c>
      <c r="D92" s="181">
        <v>32642.6</v>
      </c>
      <c r="E92" s="212">
        <v>1</v>
      </c>
      <c r="F92" s="202"/>
      <c r="G92" s="212" t="s">
        <v>548</v>
      </c>
      <c r="H92" s="212">
        <v>475.82400197999999</v>
      </c>
      <c r="I92" s="158"/>
      <c r="J92" s="152"/>
      <c r="K92" s="217"/>
      <c r="L92" s="217"/>
      <c r="M92" s="217"/>
      <c r="O92" s="230" t="s">
        <v>548</v>
      </c>
      <c r="P92" s="230">
        <v>451.02426694000002</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288</v>
      </c>
      <c r="C93" s="184">
        <v>42521</v>
      </c>
      <c r="D93" s="181">
        <v>12393.618495070001</v>
      </c>
      <c r="E93" s="212">
        <v>1</v>
      </c>
      <c r="F93" s="202"/>
      <c r="G93" s="212" t="s">
        <v>549</v>
      </c>
      <c r="H93" s="212">
        <v>252.99379769999999</v>
      </c>
      <c r="I93" s="158"/>
      <c r="J93" s="152"/>
      <c r="K93" s="217"/>
      <c r="L93" s="217"/>
      <c r="M93" s="217"/>
      <c r="O93" s="230" t="s">
        <v>549</v>
      </c>
      <c r="P93" s="230">
        <v>253.76311049</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291</v>
      </c>
      <c r="C94" s="184">
        <v>42030</v>
      </c>
      <c r="D94" s="181">
        <v>42581.471937620001</v>
      </c>
      <c r="E94" s="212">
        <v>1</v>
      </c>
      <c r="F94" s="198"/>
      <c r="G94" s="212" t="s">
        <v>550</v>
      </c>
      <c r="H94" s="212">
        <v>5117.9331641400004</v>
      </c>
      <c r="I94" s="158"/>
      <c r="J94" s="152"/>
      <c r="K94" s="217"/>
      <c r="L94" s="217"/>
      <c r="M94" s="217"/>
      <c r="O94" s="230" t="s">
        <v>550</v>
      </c>
      <c r="P94" s="230">
        <v>5367.0917306399997</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292</v>
      </c>
      <c r="C95" s="184">
        <v>43125</v>
      </c>
      <c r="D95" s="181">
        <v>6026.6277274599997</v>
      </c>
      <c r="E95" s="212">
        <v>1</v>
      </c>
      <c r="F95" s="198"/>
      <c r="G95" s="212" t="s">
        <v>551</v>
      </c>
      <c r="H95" s="212">
        <v>15999.71042738</v>
      </c>
      <c r="I95" s="158"/>
      <c r="J95" s="152"/>
      <c r="K95" s="217"/>
      <c r="L95" s="217"/>
      <c r="M95" s="217"/>
      <c r="O95" s="230" t="s">
        <v>551</v>
      </c>
      <c r="P95" s="230">
        <v>16762.561221299999</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70</v>
      </c>
      <c r="C96" s="184">
        <v>44221</v>
      </c>
      <c r="D96" s="181">
        <v>26624.575161000001</v>
      </c>
      <c r="E96" s="212">
        <v>1</v>
      </c>
      <c r="F96" s="202"/>
      <c r="G96" s="212" t="s">
        <v>552</v>
      </c>
      <c r="H96" s="212">
        <v>10647.90964709</v>
      </c>
      <c r="I96" s="158"/>
      <c r="J96" s="152"/>
      <c r="K96" s="217"/>
      <c r="L96" s="217"/>
      <c r="M96" s="217"/>
      <c r="O96" s="230" t="s">
        <v>552</v>
      </c>
      <c r="P96" s="230">
        <v>10078.605103559999</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78</v>
      </c>
      <c r="C97" s="184">
        <v>43125</v>
      </c>
      <c r="D97" s="181">
        <v>48467.669364840003</v>
      </c>
      <c r="E97" s="212">
        <v>1</v>
      </c>
      <c r="F97" s="202"/>
      <c r="G97" s="212" t="s">
        <v>553</v>
      </c>
      <c r="H97" s="212">
        <v>3988.1722960500001</v>
      </c>
      <c r="I97" s="158"/>
      <c r="K97" s="217"/>
      <c r="L97" s="217"/>
      <c r="M97" s="217"/>
      <c r="O97" s="230" t="s">
        <v>553</v>
      </c>
      <c r="P97" s="230">
        <v>4641.5341629799996</v>
      </c>
    </row>
    <row r="98" spans="1:16" x14ac:dyDescent="0.25">
      <c r="A98" s="144"/>
      <c r="B98" s="181" t="s">
        <v>80</v>
      </c>
      <c r="C98" s="184">
        <v>42222</v>
      </c>
      <c r="D98" s="181">
        <v>71088.506129760004</v>
      </c>
      <c r="E98" s="212">
        <v>1</v>
      </c>
      <c r="F98" s="202"/>
      <c r="G98" s="212" t="s">
        <v>554</v>
      </c>
      <c r="H98" s="212">
        <v>3200.6905628200002</v>
      </c>
      <c r="I98" s="158"/>
      <c r="K98" s="217"/>
      <c r="L98" s="217"/>
      <c r="M98" s="217"/>
      <c r="O98" s="230" t="s">
        <v>554</v>
      </c>
      <c r="P98" s="230">
        <v>3213.93260362</v>
      </c>
    </row>
    <row r="99" spans="1:16" x14ac:dyDescent="0.25">
      <c r="A99" s="144"/>
      <c r="B99" s="181" t="s">
        <v>298</v>
      </c>
      <c r="C99" s="184">
        <v>43627</v>
      </c>
      <c r="D99" s="181">
        <v>3193.7852788199998</v>
      </c>
      <c r="E99" s="212">
        <v>1</v>
      </c>
      <c r="F99" s="202"/>
      <c r="G99" s="212" t="s">
        <v>555</v>
      </c>
      <c r="H99" s="212">
        <v>8451.8954725599997</v>
      </c>
      <c r="I99" s="158"/>
      <c r="K99" s="217"/>
      <c r="L99" s="217"/>
      <c r="M99" s="217"/>
      <c r="O99" s="230" t="s">
        <v>555</v>
      </c>
      <c r="P99" s="230">
        <v>8106.1361123099996</v>
      </c>
    </row>
    <row r="100" spans="1:16" x14ac:dyDescent="0.25">
      <c r="B100" s="181" t="s">
        <v>542</v>
      </c>
      <c r="C100" s="184">
        <v>42488</v>
      </c>
      <c r="D100" s="181">
        <v>19062.31522</v>
      </c>
      <c r="E100" s="212">
        <v>1</v>
      </c>
      <c r="F100" s="198"/>
      <c r="G100" s="212" t="s">
        <v>556</v>
      </c>
      <c r="H100" s="212">
        <v>34736.10992725</v>
      </c>
      <c r="I100" s="158"/>
      <c r="K100" s="217"/>
      <c r="L100" s="217"/>
      <c r="M100" s="217"/>
      <c r="O100" s="230" t="s">
        <v>556</v>
      </c>
      <c r="P100" s="230">
        <v>34914.252335129997</v>
      </c>
    </row>
    <row r="101" spans="1:16" x14ac:dyDescent="0.25">
      <c r="B101" s="181" t="s">
        <v>302</v>
      </c>
      <c r="C101" s="184">
        <v>43165</v>
      </c>
      <c r="D101" s="181">
        <v>47641.71241624</v>
      </c>
      <c r="E101" s="212">
        <v>1</v>
      </c>
      <c r="F101" s="202"/>
      <c r="G101" s="212" t="s">
        <v>557</v>
      </c>
      <c r="H101" s="212">
        <v>79409.269814350002</v>
      </c>
      <c r="I101" s="158"/>
      <c r="K101" s="217"/>
      <c r="L101" s="217"/>
      <c r="M101" s="217"/>
      <c r="O101" s="230" t="s">
        <v>557</v>
      </c>
      <c r="P101" s="230">
        <v>79357.655962189994</v>
      </c>
    </row>
    <row r="102" spans="1:16" x14ac:dyDescent="0.25">
      <c r="B102" s="181" t="s">
        <v>303</v>
      </c>
      <c r="C102" s="184">
        <v>42374</v>
      </c>
      <c r="D102" s="181">
        <v>1792.3439825099999</v>
      </c>
      <c r="E102" s="212">
        <v>1</v>
      </c>
      <c r="F102" s="198"/>
      <c r="G102" s="212" t="s">
        <v>558</v>
      </c>
      <c r="H102" s="212">
        <v>1033.3134998800001</v>
      </c>
      <c r="I102" s="158"/>
      <c r="K102" s="217"/>
      <c r="L102" s="217"/>
      <c r="M102" s="217"/>
      <c r="O102" s="230" t="s">
        <v>558</v>
      </c>
      <c r="P102" s="230">
        <v>1040.9037987900001</v>
      </c>
    </row>
    <row r="103" spans="1:16" x14ac:dyDescent="0.25">
      <c r="A103" s="14"/>
      <c r="B103" s="181" t="s">
        <v>311</v>
      </c>
      <c r="C103" s="184">
        <v>43220</v>
      </c>
      <c r="D103" s="181">
        <v>60.391819920000003</v>
      </c>
      <c r="E103" s="212">
        <v>1</v>
      </c>
      <c r="F103" s="202"/>
      <c r="G103" s="212" t="s">
        <v>511</v>
      </c>
      <c r="H103" s="212">
        <v>377.82367440000002</v>
      </c>
      <c r="I103" s="158"/>
      <c r="K103" s="217"/>
      <c r="L103" s="217"/>
      <c r="M103" s="217"/>
      <c r="O103" s="230" t="s">
        <v>511</v>
      </c>
      <c r="P103" s="230">
        <v>379.71404897000002</v>
      </c>
    </row>
    <row r="104" spans="1:16" x14ac:dyDescent="0.25">
      <c r="B104" s="181" t="s">
        <v>514</v>
      </c>
      <c r="C104" s="184">
        <v>44622</v>
      </c>
      <c r="D104" s="181">
        <v>63059.854592180003</v>
      </c>
      <c r="E104" s="212">
        <v>1</v>
      </c>
      <c r="F104" s="202"/>
      <c r="G104" s="212" t="s">
        <v>559</v>
      </c>
      <c r="H104" s="212">
        <v>6247.6410626799998</v>
      </c>
      <c r="I104" s="158"/>
      <c r="K104" s="217"/>
      <c r="L104" s="217"/>
      <c r="M104" s="217"/>
      <c r="O104" s="230" t="s">
        <v>559</v>
      </c>
      <c r="P104" s="230">
        <v>6394.8308666200001</v>
      </c>
    </row>
    <row r="105" spans="1:16" x14ac:dyDescent="0.25">
      <c r="B105" s="181" t="s">
        <v>316</v>
      </c>
      <c r="C105" s="184">
        <v>44622</v>
      </c>
      <c r="D105" s="181">
        <v>14949.15963441</v>
      </c>
      <c r="E105" s="212">
        <v>1</v>
      </c>
      <c r="F105" s="202"/>
      <c r="G105" s="212" t="s">
        <v>560</v>
      </c>
      <c r="H105" s="212">
        <v>7722.9783772000001</v>
      </c>
      <c r="I105" s="158"/>
      <c r="K105" s="217"/>
      <c r="L105" s="217"/>
      <c r="M105" s="217"/>
      <c r="O105" s="230" t="s">
        <v>560</v>
      </c>
      <c r="P105" s="230">
        <v>7317.7015251000003</v>
      </c>
    </row>
    <row r="106" spans="1:16" x14ac:dyDescent="0.25">
      <c r="B106" s="181" t="s">
        <v>548</v>
      </c>
      <c r="C106" s="184">
        <v>44287</v>
      </c>
      <c r="D106" s="181">
        <v>1055.7125234600001</v>
      </c>
      <c r="E106" s="212">
        <v>1</v>
      </c>
      <c r="F106" s="202"/>
      <c r="G106" s="212" t="s">
        <v>561</v>
      </c>
      <c r="H106" s="212">
        <v>1739.8181208200001</v>
      </c>
      <c r="I106" s="158"/>
      <c r="K106" s="217"/>
      <c r="L106" s="217"/>
      <c r="M106" s="217"/>
      <c r="O106" s="230" t="s">
        <v>621</v>
      </c>
      <c r="P106" s="230">
        <v>1319.56521739</v>
      </c>
    </row>
    <row r="107" spans="1:16" x14ac:dyDescent="0.25">
      <c r="B107" s="181" t="s">
        <v>331</v>
      </c>
      <c r="C107" s="184">
        <v>42193</v>
      </c>
      <c r="D107" s="181">
        <v>9363.98</v>
      </c>
      <c r="E107" s="212">
        <v>1</v>
      </c>
      <c r="F107" s="202"/>
      <c r="G107" s="212" t="s">
        <v>562</v>
      </c>
      <c r="H107" s="212">
        <v>6503.0627172200002</v>
      </c>
      <c r="I107" s="158"/>
      <c r="K107" s="217"/>
      <c r="L107" s="217"/>
      <c r="M107" s="217"/>
      <c r="O107" s="230" t="s">
        <v>561</v>
      </c>
      <c r="P107" s="230">
        <v>1899.09653776</v>
      </c>
    </row>
    <row r="108" spans="1:16" x14ac:dyDescent="0.25">
      <c r="B108" s="181" t="s">
        <v>564</v>
      </c>
      <c r="C108" s="184">
        <v>44362</v>
      </c>
      <c r="D108" s="181">
        <v>207.20655972</v>
      </c>
      <c r="E108" s="212">
        <v>1</v>
      </c>
      <c r="F108" s="198"/>
      <c r="G108" s="212" t="s">
        <v>563</v>
      </c>
      <c r="H108" s="212">
        <v>2920.8498421300001</v>
      </c>
      <c r="I108" s="158"/>
      <c r="K108" s="217"/>
      <c r="L108" s="217"/>
      <c r="M108" s="217"/>
      <c r="O108" s="230" t="s">
        <v>562</v>
      </c>
      <c r="P108" s="230">
        <v>6652.6384065700004</v>
      </c>
    </row>
    <row r="109" spans="1:16" x14ac:dyDescent="0.25">
      <c r="B109" s="181" t="s">
        <v>567</v>
      </c>
      <c r="C109" s="184">
        <v>44673</v>
      </c>
      <c r="D109" s="181">
        <v>14011.686052290001</v>
      </c>
      <c r="E109" s="212">
        <v>1</v>
      </c>
      <c r="F109" s="198"/>
      <c r="G109" s="212" t="s">
        <v>564</v>
      </c>
      <c r="H109" s="212">
        <v>177.69366300999999</v>
      </c>
      <c r="I109" s="158"/>
      <c r="K109" s="217"/>
      <c r="L109" s="217"/>
      <c r="M109" s="217"/>
      <c r="O109" s="230" t="s">
        <v>563</v>
      </c>
      <c r="P109" s="230">
        <v>2729.0864572800001</v>
      </c>
    </row>
    <row r="110" spans="1:16" x14ac:dyDescent="0.25">
      <c r="B110" s="181" t="s">
        <v>342</v>
      </c>
      <c r="C110" s="184">
        <v>44204</v>
      </c>
      <c r="D110" s="181">
        <v>125491.21</v>
      </c>
      <c r="E110" s="212">
        <v>1</v>
      </c>
      <c r="F110" s="198"/>
      <c r="G110" s="212" t="s">
        <v>565</v>
      </c>
      <c r="H110" s="212">
        <v>5253.4316164600004</v>
      </c>
      <c r="I110" s="158"/>
      <c r="K110" s="217"/>
      <c r="L110" s="217"/>
      <c r="M110" s="217"/>
      <c r="O110" s="230" t="s">
        <v>564</v>
      </c>
      <c r="P110" s="230">
        <v>184.83685869999999</v>
      </c>
    </row>
    <row r="111" spans="1:16" x14ac:dyDescent="0.25">
      <c r="B111" s="181" t="s">
        <v>576</v>
      </c>
      <c r="C111" s="184">
        <v>44711</v>
      </c>
      <c r="D111" s="181">
        <v>22037.900468100001</v>
      </c>
      <c r="E111" s="212">
        <v>1</v>
      </c>
      <c r="F111" s="198"/>
      <c r="G111" s="212" t="s">
        <v>566</v>
      </c>
      <c r="H111" s="212">
        <v>8814.9435845400003</v>
      </c>
      <c r="I111" s="158"/>
      <c r="K111" s="217"/>
      <c r="L111" s="217"/>
      <c r="M111" s="217"/>
      <c r="O111" s="230" t="s">
        <v>565</v>
      </c>
      <c r="P111" s="230">
        <v>5372.8107569000003</v>
      </c>
    </row>
    <row r="112" spans="1:16" x14ac:dyDescent="0.25">
      <c r="B112" s="181" t="s">
        <v>352</v>
      </c>
      <c r="C112" s="184">
        <v>43875</v>
      </c>
      <c r="D112" s="181">
        <v>13392.1</v>
      </c>
      <c r="E112" s="212">
        <v>1</v>
      </c>
      <c r="F112" s="198"/>
      <c r="G112" s="212" t="s">
        <v>567</v>
      </c>
      <c r="H112" s="212">
        <v>13340.66673107</v>
      </c>
      <c r="I112" s="158"/>
      <c r="K112" s="217"/>
      <c r="L112" s="217"/>
      <c r="M112" s="217"/>
      <c r="O112" s="230" t="s">
        <v>566</v>
      </c>
      <c r="P112" s="230">
        <v>8484.1148570000005</v>
      </c>
    </row>
    <row r="113" spans="2:16" x14ac:dyDescent="0.25">
      <c r="B113" s="181" t="s">
        <v>359</v>
      </c>
      <c r="C113" s="184">
        <v>42069</v>
      </c>
      <c r="D113" s="181">
        <v>31823.85</v>
      </c>
      <c r="E113" s="212">
        <v>1</v>
      </c>
      <c r="F113" s="198"/>
      <c r="G113" s="212" t="s">
        <v>568</v>
      </c>
      <c r="H113" s="212">
        <v>16.036415869999999</v>
      </c>
      <c r="I113" s="158"/>
      <c r="K113" s="217"/>
      <c r="L113" s="217"/>
      <c r="M113" s="217"/>
      <c r="O113" s="230" t="s">
        <v>567</v>
      </c>
      <c r="P113" s="230">
        <v>13753.97700081</v>
      </c>
    </row>
    <row r="114" spans="2:16" x14ac:dyDescent="0.25">
      <c r="B114" s="181" t="s">
        <v>364</v>
      </c>
      <c r="C114" s="184">
        <v>44622</v>
      </c>
      <c r="D114" s="181">
        <v>8772.94</v>
      </c>
      <c r="E114" s="212">
        <v>1</v>
      </c>
      <c r="F114" s="198"/>
      <c r="G114" s="212" t="s">
        <v>569</v>
      </c>
      <c r="H114" s="212">
        <v>6907.4656105100003</v>
      </c>
      <c r="I114" s="158"/>
      <c r="K114" s="217"/>
      <c r="L114" s="217"/>
      <c r="M114" s="217"/>
      <c r="O114" s="230" t="s">
        <v>568</v>
      </c>
      <c r="P114" s="230">
        <v>16.22214932</v>
      </c>
    </row>
    <row r="115" spans="2:16" x14ac:dyDescent="0.25">
      <c r="B115" s="181" t="s">
        <v>367</v>
      </c>
      <c r="C115" s="184">
        <v>43060</v>
      </c>
      <c r="D115" s="181">
        <v>20575.990000000002</v>
      </c>
      <c r="E115" s="212">
        <v>1</v>
      </c>
      <c r="F115" s="198"/>
      <c r="G115" s="212" t="s">
        <v>570</v>
      </c>
      <c r="H115" s="212">
        <v>121.47600645</v>
      </c>
      <c r="I115" s="158"/>
      <c r="K115" s="217"/>
      <c r="L115" s="217"/>
      <c r="M115" s="217"/>
      <c r="O115" s="230" t="s">
        <v>569</v>
      </c>
      <c r="P115" s="230">
        <v>7430.5028208800004</v>
      </c>
    </row>
    <row r="116" spans="2:16" x14ac:dyDescent="0.25">
      <c r="B116" s="181" t="s">
        <v>581</v>
      </c>
      <c r="C116" s="184">
        <v>44467</v>
      </c>
      <c r="D116" s="181">
        <v>16339.24</v>
      </c>
      <c r="E116" s="212">
        <v>1</v>
      </c>
      <c r="F116" s="198"/>
      <c r="G116" s="212" t="s">
        <v>571</v>
      </c>
      <c r="H116" s="212">
        <v>3817.7319442399998</v>
      </c>
      <c r="I116" s="158"/>
      <c r="K116" s="217"/>
      <c r="L116" s="217"/>
      <c r="M116" s="217"/>
      <c r="O116" s="230" t="s">
        <v>570</v>
      </c>
      <c r="P116" s="230">
        <v>122.71911204</v>
      </c>
    </row>
    <row r="117" spans="2:16" x14ac:dyDescent="0.25">
      <c r="B117" s="181" t="s">
        <v>582</v>
      </c>
      <c r="C117" s="184">
        <v>44649</v>
      </c>
      <c r="D117" s="181">
        <v>10969.18</v>
      </c>
      <c r="E117" s="212">
        <v>1</v>
      </c>
      <c r="F117" s="198"/>
      <c r="G117" s="212" t="s">
        <v>572</v>
      </c>
      <c r="H117" s="212">
        <v>187.93313094999999</v>
      </c>
      <c r="I117" s="158"/>
      <c r="K117" s="217"/>
      <c r="L117" s="217"/>
      <c r="M117" s="217"/>
      <c r="O117" s="230" t="s">
        <v>571</v>
      </c>
      <c r="P117" s="230">
        <v>3637.0341493199999</v>
      </c>
    </row>
    <row r="118" spans="2:16" x14ac:dyDescent="0.25">
      <c r="B118" s="181" t="s">
        <v>586</v>
      </c>
      <c r="C118" s="184">
        <v>44603</v>
      </c>
      <c r="D118" s="181">
        <v>9797.7000000000007</v>
      </c>
      <c r="E118" s="212">
        <v>1</v>
      </c>
      <c r="F118" s="198"/>
      <c r="G118" s="212" t="s">
        <v>573</v>
      </c>
      <c r="H118" s="212">
        <v>95911.434834700005</v>
      </c>
      <c r="I118" s="158"/>
      <c r="K118" s="217"/>
      <c r="L118" s="217"/>
      <c r="M118" s="217"/>
      <c r="O118" s="230" t="s">
        <v>572</v>
      </c>
      <c r="P118" s="230">
        <v>177.42538241</v>
      </c>
    </row>
    <row r="119" spans="2:16" x14ac:dyDescent="0.25">
      <c r="B119" s="181" t="s">
        <v>588</v>
      </c>
      <c r="C119" s="184">
        <v>44680</v>
      </c>
      <c r="D119" s="181">
        <v>78109.399999999994</v>
      </c>
      <c r="E119" s="212">
        <v>1</v>
      </c>
      <c r="F119" s="198"/>
      <c r="G119" s="212" t="s">
        <v>574</v>
      </c>
      <c r="H119" s="212">
        <v>37235.77903451</v>
      </c>
      <c r="I119" s="158"/>
      <c r="K119" s="217"/>
      <c r="L119" s="217"/>
      <c r="M119" s="217"/>
      <c r="O119" s="230" t="s">
        <v>573</v>
      </c>
      <c r="P119" s="230">
        <v>98322.710358850003</v>
      </c>
    </row>
    <row r="120" spans="2:16" x14ac:dyDescent="0.25">
      <c r="B120" s="181" t="s">
        <v>611</v>
      </c>
      <c r="C120" s="184">
        <v>44364</v>
      </c>
      <c r="D120" s="181">
        <v>2091.39</v>
      </c>
      <c r="E120" s="212">
        <v>1</v>
      </c>
      <c r="F120" s="198"/>
      <c r="G120" s="212" t="s">
        <v>575</v>
      </c>
      <c r="H120" s="212">
        <v>53684.970930130003</v>
      </c>
      <c r="I120" s="158"/>
      <c r="K120" s="217"/>
      <c r="L120" s="217"/>
      <c r="M120" s="217"/>
      <c r="O120" s="230" t="s">
        <v>574</v>
      </c>
      <c r="P120" s="230">
        <v>35083.162438059997</v>
      </c>
    </row>
    <row r="121" spans="2:16" x14ac:dyDescent="0.25">
      <c r="B121" s="181" t="s">
        <v>618</v>
      </c>
      <c r="C121" s="184">
        <v>44711</v>
      </c>
      <c r="D121" s="181">
        <v>8465.7900000000009</v>
      </c>
      <c r="E121" s="212">
        <v>1</v>
      </c>
      <c r="F121" s="198"/>
      <c r="G121" s="212" t="s">
        <v>576</v>
      </c>
      <c r="H121" s="212">
        <v>21866.744059820001</v>
      </c>
      <c r="I121" s="158"/>
      <c r="K121" s="217"/>
      <c r="L121" s="217"/>
      <c r="M121" s="217"/>
      <c r="O121" s="230" t="s">
        <v>575</v>
      </c>
      <c r="P121" s="230">
        <v>60262.833742019997</v>
      </c>
    </row>
    <row r="122" spans="2:16" x14ac:dyDescent="0.25">
      <c r="B122" s="181" t="s">
        <v>376</v>
      </c>
      <c r="C122" s="184">
        <v>38665</v>
      </c>
      <c r="D122" s="181">
        <v>225.62</v>
      </c>
      <c r="E122" s="212">
        <v>1</v>
      </c>
      <c r="F122" s="198"/>
      <c r="G122" s="212" t="s">
        <v>577</v>
      </c>
      <c r="H122" s="212">
        <v>198852.54459229001</v>
      </c>
      <c r="I122" s="158"/>
      <c r="K122" s="217"/>
      <c r="L122" s="217"/>
      <c r="M122" s="217"/>
      <c r="O122" s="230" t="s">
        <v>576</v>
      </c>
      <c r="P122" s="230">
        <v>20787.803398550001</v>
      </c>
    </row>
    <row r="123" spans="2:16" x14ac:dyDescent="0.25">
      <c r="B123" s="181" t="s">
        <v>390</v>
      </c>
      <c r="C123" s="184">
        <v>38713</v>
      </c>
      <c r="D123" s="181">
        <v>141.75</v>
      </c>
      <c r="E123" s="212">
        <v>1</v>
      </c>
      <c r="F123" s="198"/>
      <c r="G123" s="212" t="s">
        <v>578</v>
      </c>
      <c r="H123" s="212">
        <v>27990.697923600001</v>
      </c>
      <c r="I123" s="158"/>
      <c r="K123" s="217"/>
      <c r="L123" s="217"/>
      <c r="M123" s="217"/>
      <c r="O123" s="230" t="s">
        <v>577</v>
      </c>
      <c r="P123" s="230">
        <v>207918.54115315</v>
      </c>
    </row>
    <row r="124" spans="2:16" x14ac:dyDescent="0.25">
      <c r="B124" s="181" t="s">
        <v>393</v>
      </c>
      <c r="C124" s="184">
        <v>38705</v>
      </c>
      <c r="D124" s="181">
        <v>217.85</v>
      </c>
      <c r="E124" s="212">
        <v>1</v>
      </c>
      <c r="F124" s="198"/>
      <c r="G124" s="212" t="s">
        <v>364</v>
      </c>
      <c r="H124" s="212">
        <v>7492.73</v>
      </c>
      <c r="I124" s="158"/>
      <c r="K124" s="217"/>
      <c r="L124" s="217"/>
      <c r="M124" s="217"/>
      <c r="O124" s="230" t="s">
        <v>578</v>
      </c>
      <c r="P124" s="230">
        <v>24651.461664009999</v>
      </c>
    </row>
    <row r="125" spans="2:16" x14ac:dyDescent="0.25">
      <c r="B125" s="181" t="s">
        <v>397</v>
      </c>
      <c r="C125" s="184">
        <v>40577</v>
      </c>
      <c r="D125" s="181">
        <v>493.46</v>
      </c>
      <c r="E125" s="212">
        <v>1</v>
      </c>
      <c r="F125" s="198"/>
      <c r="G125" s="212" t="s">
        <v>365</v>
      </c>
      <c r="H125" s="212">
        <v>19405.29</v>
      </c>
      <c r="I125" s="158"/>
      <c r="K125" s="217"/>
      <c r="L125" s="217"/>
      <c r="M125" s="217"/>
      <c r="O125" s="230" t="s">
        <v>364</v>
      </c>
      <c r="P125" s="230">
        <v>7569.57</v>
      </c>
    </row>
    <row r="126" spans="2:16" x14ac:dyDescent="0.25">
      <c r="B126" s="181" t="s">
        <v>398</v>
      </c>
      <c r="C126" s="184">
        <v>39618</v>
      </c>
      <c r="D126" s="181">
        <v>303</v>
      </c>
      <c r="E126" s="212">
        <v>1</v>
      </c>
      <c r="F126" s="198"/>
      <c r="G126" s="212" t="s">
        <v>366</v>
      </c>
      <c r="H126" s="212">
        <v>14012.45</v>
      </c>
      <c r="I126" s="158"/>
      <c r="K126" s="217"/>
      <c r="L126" s="217"/>
      <c r="M126" s="217"/>
      <c r="O126" s="230" t="s">
        <v>365</v>
      </c>
      <c r="P126" s="230">
        <v>19438.95</v>
      </c>
    </row>
    <row r="127" spans="2:16" x14ac:dyDescent="0.25">
      <c r="B127" s="181" t="s">
        <v>405</v>
      </c>
      <c r="C127" s="184">
        <v>39394</v>
      </c>
      <c r="D127" s="181">
        <v>363.69</v>
      </c>
      <c r="E127" s="212">
        <v>1</v>
      </c>
      <c r="F127" s="198"/>
      <c r="G127" s="212" t="s">
        <v>367</v>
      </c>
      <c r="H127" s="212">
        <v>18253.89</v>
      </c>
      <c r="I127" s="158"/>
      <c r="K127" s="217"/>
      <c r="L127" s="217"/>
      <c r="M127" s="217"/>
      <c r="O127" s="230" t="s">
        <v>366</v>
      </c>
      <c r="P127" s="230">
        <v>13462.47</v>
      </c>
    </row>
    <row r="128" spans="2:16" x14ac:dyDescent="0.25">
      <c r="B128" s="181" t="s">
        <v>406</v>
      </c>
      <c r="C128" s="184">
        <v>42227</v>
      </c>
      <c r="D128" s="181">
        <v>4215.8333879900001</v>
      </c>
      <c r="E128" s="212">
        <v>1</v>
      </c>
      <c r="F128" s="198"/>
      <c r="G128" s="212" t="s">
        <v>368</v>
      </c>
      <c r="H128" s="212">
        <v>8565.5499999999993</v>
      </c>
      <c r="I128" s="158"/>
      <c r="K128" s="217"/>
      <c r="L128" s="217"/>
      <c r="M128" s="217"/>
      <c r="O128" s="230" t="s">
        <v>367</v>
      </c>
      <c r="P128" s="230">
        <v>17880.73</v>
      </c>
    </row>
    <row r="129" spans="2:16" x14ac:dyDescent="0.25">
      <c r="B129" s="181" t="s">
        <v>223</v>
      </c>
      <c r="C129" s="184">
        <v>38715</v>
      </c>
      <c r="D129" s="181">
        <v>25723.24</v>
      </c>
      <c r="E129" s="212">
        <v>1</v>
      </c>
      <c r="F129" s="198"/>
      <c r="G129" s="212" t="s">
        <v>369</v>
      </c>
      <c r="H129" s="212">
        <v>17656.240000000002</v>
      </c>
      <c r="I129" s="158"/>
      <c r="K129" s="217"/>
      <c r="L129" s="217"/>
      <c r="M129" s="217"/>
      <c r="O129" s="230" t="s">
        <v>368</v>
      </c>
      <c r="P129" s="230">
        <v>8668.7800000000007</v>
      </c>
    </row>
    <row r="130" spans="2:16" x14ac:dyDescent="0.25">
      <c r="B130" s="181" t="s">
        <v>227</v>
      </c>
      <c r="C130" s="184">
        <v>38715</v>
      </c>
      <c r="D130" s="181">
        <v>24993.42</v>
      </c>
      <c r="E130" s="212">
        <v>1</v>
      </c>
      <c r="F130" s="198"/>
      <c r="G130" s="212" t="s">
        <v>370</v>
      </c>
      <c r="H130" s="212">
        <v>13207.97</v>
      </c>
      <c r="I130" s="158"/>
      <c r="K130" s="217"/>
      <c r="L130" s="217"/>
      <c r="M130" s="217"/>
      <c r="O130" s="230" t="s">
        <v>369</v>
      </c>
      <c r="P130" s="230">
        <v>17686.11</v>
      </c>
    </row>
    <row r="131" spans="2:16" x14ac:dyDescent="0.25">
      <c r="B131" s="181" t="s">
        <v>235</v>
      </c>
      <c r="C131" s="184">
        <v>38708</v>
      </c>
      <c r="D131" s="181">
        <v>1357.01</v>
      </c>
      <c r="E131" s="212">
        <v>1</v>
      </c>
      <c r="F131" s="198"/>
      <c r="G131" s="212" t="s">
        <v>371</v>
      </c>
      <c r="H131" s="212">
        <v>16271.07</v>
      </c>
      <c r="I131" s="158"/>
      <c r="K131" s="217"/>
      <c r="L131" s="217"/>
      <c r="M131" s="217"/>
      <c r="O131" s="230" t="s">
        <v>370</v>
      </c>
      <c r="P131" s="230">
        <v>12860.23</v>
      </c>
    </row>
    <row r="132" spans="2:16" x14ac:dyDescent="0.25">
      <c r="B132" s="181" t="s">
        <v>236</v>
      </c>
      <c r="C132" s="184">
        <v>38713</v>
      </c>
      <c r="D132" s="181">
        <v>17869.22</v>
      </c>
      <c r="E132" s="212">
        <v>1</v>
      </c>
      <c r="F132" s="198"/>
      <c r="G132" s="212" t="s">
        <v>579</v>
      </c>
      <c r="H132" s="212">
        <v>8154.36</v>
      </c>
      <c r="I132" s="158"/>
      <c r="K132" s="217"/>
      <c r="L132" s="217"/>
      <c r="M132" s="217"/>
      <c r="O132" s="230" t="s">
        <v>371</v>
      </c>
      <c r="P132" s="230">
        <v>16098.83</v>
      </c>
    </row>
    <row r="133" spans="2:16" x14ac:dyDescent="0.25">
      <c r="B133" s="181" t="s">
        <v>241</v>
      </c>
      <c r="C133" s="184">
        <v>38713</v>
      </c>
      <c r="D133" s="181">
        <v>590.19000000000005</v>
      </c>
      <c r="E133" s="212">
        <v>1</v>
      </c>
      <c r="F133" s="198"/>
      <c r="G133" s="212" t="s">
        <v>580</v>
      </c>
      <c r="H133" s="212">
        <v>8847.0499999999993</v>
      </c>
      <c r="I133" s="158"/>
      <c r="K133" s="217"/>
      <c r="L133" s="217"/>
      <c r="M133" s="217"/>
      <c r="O133" s="230" t="s">
        <v>579</v>
      </c>
      <c r="P133" s="230">
        <v>7729.36</v>
      </c>
    </row>
    <row r="134" spans="2:16" x14ac:dyDescent="0.25">
      <c r="B134" s="181" t="s">
        <v>245</v>
      </c>
      <c r="C134" s="184">
        <v>38709</v>
      </c>
      <c r="D134" s="181">
        <v>196.52</v>
      </c>
      <c r="E134" s="212">
        <v>1</v>
      </c>
      <c r="F134" s="198"/>
      <c r="G134" s="212" t="s">
        <v>581</v>
      </c>
      <c r="H134" s="212">
        <v>12395.31</v>
      </c>
      <c r="I134" s="158"/>
      <c r="K134" s="217"/>
      <c r="L134" s="217"/>
      <c r="M134" s="217"/>
      <c r="O134" s="230" t="s">
        <v>580</v>
      </c>
      <c r="P134" s="230">
        <v>8873.9500000000007</v>
      </c>
    </row>
    <row r="135" spans="2:16" x14ac:dyDescent="0.25">
      <c r="B135" s="181" t="s">
        <v>255</v>
      </c>
      <c r="C135" s="184">
        <v>44266</v>
      </c>
      <c r="D135" s="181">
        <v>87682.746332709998</v>
      </c>
      <c r="E135" s="212">
        <v>1</v>
      </c>
      <c r="F135" s="198"/>
      <c r="G135" s="212" t="s">
        <v>582</v>
      </c>
      <c r="H135" s="212">
        <v>10437.57</v>
      </c>
      <c r="I135" s="158"/>
      <c r="K135" s="217"/>
      <c r="L135" s="217"/>
      <c r="M135" s="217"/>
      <c r="O135" s="230" t="s">
        <v>581</v>
      </c>
      <c r="P135" s="230">
        <v>12993.44</v>
      </c>
    </row>
    <row r="136" spans="2:16" x14ac:dyDescent="0.25">
      <c r="B136" s="181" t="s">
        <v>627</v>
      </c>
      <c r="C136" s="184">
        <v>42312</v>
      </c>
      <c r="D136" s="181">
        <v>1315.4607390000001</v>
      </c>
      <c r="E136" s="212">
        <v>1</v>
      </c>
      <c r="F136" s="198"/>
      <c r="G136" s="212" t="s">
        <v>583</v>
      </c>
      <c r="H136" s="212">
        <v>1130.7</v>
      </c>
      <c r="I136" s="158"/>
      <c r="K136" s="217"/>
      <c r="L136" s="217"/>
      <c r="M136" s="217"/>
      <c r="O136" s="230" t="s">
        <v>582</v>
      </c>
      <c r="P136" s="230">
        <v>10107.92</v>
      </c>
    </row>
    <row r="137" spans="2:16" x14ac:dyDescent="0.25">
      <c r="B137" s="181" t="s">
        <v>258</v>
      </c>
      <c r="C137" s="184">
        <v>44650</v>
      </c>
      <c r="D137" s="181">
        <v>5097.0536857899997</v>
      </c>
      <c r="E137" s="212">
        <v>1</v>
      </c>
      <c r="F137" s="198"/>
      <c r="G137" s="212" t="s">
        <v>584</v>
      </c>
      <c r="H137" s="212">
        <v>43667.02</v>
      </c>
      <c r="I137" s="158"/>
      <c r="K137" s="217"/>
      <c r="L137" s="217"/>
      <c r="M137" s="217"/>
      <c r="O137" s="230" t="s">
        <v>583</v>
      </c>
      <c r="P137" s="230">
        <v>1137.01</v>
      </c>
    </row>
    <row r="138" spans="2:16" x14ac:dyDescent="0.25">
      <c r="B138" s="181" t="s">
        <v>105</v>
      </c>
      <c r="C138" s="184">
        <v>39400</v>
      </c>
      <c r="D138" s="181">
        <v>5041.9399999999996</v>
      </c>
      <c r="E138" s="212">
        <v>1</v>
      </c>
      <c r="F138" s="198"/>
      <c r="G138" s="212" t="s">
        <v>585</v>
      </c>
      <c r="H138" s="212">
        <v>15315.08</v>
      </c>
      <c r="I138" s="158"/>
      <c r="K138" s="217"/>
      <c r="L138" s="217"/>
      <c r="M138" s="217"/>
      <c r="O138" s="230" t="s">
        <v>584</v>
      </c>
      <c r="P138" s="230">
        <v>45147.25</v>
      </c>
    </row>
    <row r="139" spans="2:16" x14ac:dyDescent="0.25">
      <c r="B139" s="181" t="s">
        <v>259</v>
      </c>
      <c r="C139" s="184">
        <v>39400</v>
      </c>
      <c r="D139" s="181">
        <v>2186.16</v>
      </c>
      <c r="E139" s="212">
        <v>1</v>
      </c>
      <c r="F139" s="198"/>
      <c r="G139" s="212" t="s">
        <v>586</v>
      </c>
      <c r="H139" s="212">
        <v>8679.7900000000009</v>
      </c>
      <c r="I139" s="158"/>
      <c r="K139" s="217"/>
      <c r="L139" s="217"/>
      <c r="M139" s="217"/>
      <c r="O139" s="230" t="s">
        <v>585</v>
      </c>
      <c r="P139" s="230">
        <v>15507.32</v>
      </c>
    </row>
    <row r="140" spans="2:16" x14ac:dyDescent="0.25">
      <c r="B140" s="181" t="s">
        <v>260</v>
      </c>
      <c r="C140" s="184">
        <v>39381</v>
      </c>
      <c r="D140" s="181">
        <v>90476.79</v>
      </c>
      <c r="E140" s="212">
        <v>1</v>
      </c>
      <c r="F140" s="198"/>
      <c r="G140" s="212" t="s">
        <v>587</v>
      </c>
      <c r="H140" s="212">
        <v>10676.62</v>
      </c>
      <c r="I140" s="158"/>
      <c r="K140" s="217"/>
      <c r="L140" s="217"/>
      <c r="M140" s="217"/>
      <c r="O140" s="230" t="s">
        <v>586</v>
      </c>
      <c r="P140" s="230">
        <v>8802.7099999999991</v>
      </c>
    </row>
    <row r="141" spans="2:16" x14ac:dyDescent="0.25">
      <c r="B141" s="181" t="s">
        <v>263</v>
      </c>
      <c r="C141" s="184">
        <v>43348</v>
      </c>
      <c r="D141" s="181">
        <v>234.75259614999999</v>
      </c>
      <c r="E141" s="212">
        <v>1</v>
      </c>
      <c r="F141" s="198"/>
      <c r="G141" s="212" t="s">
        <v>588</v>
      </c>
      <c r="H141" s="212">
        <v>76517.63</v>
      </c>
      <c r="I141" s="158"/>
      <c r="K141" s="217"/>
      <c r="L141" s="217"/>
      <c r="M141" s="217"/>
      <c r="O141" s="230" t="s">
        <v>587</v>
      </c>
      <c r="P141" s="230">
        <v>10800.31</v>
      </c>
    </row>
    <row r="142" spans="2:16" x14ac:dyDescent="0.25">
      <c r="B142" s="181" t="s">
        <v>265</v>
      </c>
      <c r="C142" s="184">
        <v>39381</v>
      </c>
      <c r="D142" s="181">
        <v>31030.1</v>
      </c>
      <c r="E142" s="212">
        <v>1</v>
      </c>
      <c r="F142" s="198"/>
      <c r="G142" s="212" t="s">
        <v>589</v>
      </c>
      <c r="H142" s="212">
        <v>8768.34</v>
      </c>
      <c r="I142" s="158"/>
      <c r="K142" s="217"/>
      <c r="L142" s="217"/>
      <c r="M142" s="217"/>
      <c r="O142" s="230" t="s">
        <v>588</v>
      </c>
      <c r="P142" s="230">
        <v>78109.399999999994</v>
      </c>
    </row>
    <row r="143" spans="2:16" x14ac:dyDescent="0.25">
      <c r="B143" s="181" t="s">
        <v>269</v>
      </c>
      <c r="C143" s="184">
        <v>44565</v>
      </c>
      <c r="D143" s="181">
        <v>104586.43891958</v>
      </c>
      <c r="E143" s="212">
        <v>1</v>
      </c>
      <c r="F143" s="198"/>
      <c r="G143" s="212" t="s">
        <v>590</v>
      </c>
      <c r="H143" s="212">
        <v>9776.2199999999993</v>
      </c>
      <c r="I143" s="158"/>
      <c r="K143" s="217"/>
      <c r="L143" s="217"/>
      <c r="M143" s="217"/>
      <c r="O143" s="230" t="s">
        <v>589</v>
      </c>
      <c r="P143" s="230">
        <v>8311.34</v>
      </c>
    </row>
    <row r="144" spans="2:16" x14ac:dyDescent="0.25">
      <c r="B144" s="181" t="s">
        <v>274</v>
      </c>
      <c r="C144" s="184">
        <v>39226</v>
      </c>
      <c r="D144" s="181">
        <v>30904.43</v>
      </c>
      <c r="E144" s="212">
        <v>1</v>
      </c>
      <c r="F144" s="198"/>
      <c r="G144" s="212" t="s">
        <v>591</v>
      </c>
      <c r="H144" s="212">
        <v>10862.22</v>
      </c>
      <c r="I144" s="158"/>
      <c r="K144" s="217"/>
      <c r="L144" s="217"/>
      <c r="M144" s="217"/>
      <c r="O144" s="230" t="s">
        <v>590</v>
      </c>
      <c r="P144" s="230">
        <v>9805.9500000000007</v>
      </c>
    </row>
    <row r="145" spans="2:16" x14ac:dyDescent="0.25">
      <c r="B145" s="181" t="s">
        <v>280</v>
      </c>
      <c r="C145" s="184">
        <v>44623</v>
      </c>
      <c r="D145" s="181">
        <v>32687.260319090001</v>
      </c>
      <c r="E145" s="212">
        <v>1</v>
      </c>
      <c r="F145" s="198"/>
      <c r="G145" s="212" t="s">
        <v>592</v>
      </c>
      <c r="H145" s="212">
        <v>13759.35</v>
      </c>
      <c r="I145" s="158"/>
      <c r="K145" s="217"/>
      <c r="L145" s="217"/>
      <c r="M145" s="217"/>
      <c r="O145" s="230" t="s">
        <v>591</v>
      </c>
      <c r="P145" s="230">
        <v>11391.64</v>
      </c>
    </row>
    <row r="146" spans="2:16" x14ac:dyDescent="0.25">
      <c r="B146" s="181" t="s">
        <v>539</v>
      </c>
      <c r="C146" s="184">
        <v>44565</v>
      </c>
      <c r="D146" s="181">
        <v>93928.146267529999</v>
      </c>
      <c r="E146" s="212">
        <v>1</v>
      </c>
      <c r="F146" s="198"/>
      <c r="G146" s="212" t="s">
        <v>593</v>
      </c>
      <c r="H146" s="212">
        <v>14263.75</v>
      </c>
      <c r="I146" s="158"/>
      <c r="K146" s="217"/>
      <c r="L146" s="217"/>
      <c r="M146" s="217"/>
      <c r="O146" s="230" t="s">
        <v>592</v>
      </c>
      <c r="P146" s="230">
        <v>14415.38</v>
      </c>
    </row>
    <row r="147" spans="2:16" x14ac:dyDescent="0.25">
      <c r="B147" s="181" t="s">
        <v>98</v>
      </c>
      <c r="C147" s="184">
        <v>44601</v>
      </c>
      <c r="D147" s="181">
        <v>958.26880014999995</v>
      </c>
      <c r="E147" s="212">
        <v>1</v>
      </c>
      <c r="F147" s="198"/>
      <c r="G147" s="212" t="s">
        <v>594</v>
      </c>
      <c r="H147" s="212">
        <v>8900.9699999999993</v>
      </c>
      <c r="I147" s="158"/>
      <c r="K147" s="217"/>
      <c r="L147" s="217"/>
      <c r="M147" s="217"/>
      <c r="O147" s="230" t="s">
        <v>593</v>
      </c>
      <c r="P147" s="230">
        <v>13510</v>
      </c>
    </row>
    <row r="148" spans="2:16" x14ac:dyDescent="0.25">
      <c r="B148" s="181" t="s">
        <v>284</v>
      </c>
      <c r="C148" s="184">
        <v>41893</v>
      </c>
      <c r="D148" s="181">
        <v>83071.234493240001</v>
      </c>
      <c r="E148" s="212">
        <v>1</v>
      </c>
      <c r="F148" s="198"/>
      <c r="G148" s="212" t="s">
        <v>595</v>
      </c>
      <c r="H148" s="212">
        <v>7143.43</v>
      </c>
      <c r="I148" s="158"/>
      <c r="K148" s="217"/>
      <c r="L148" s="217"/>
      <c r="M148" s="217"/>
      <c r="O148" s="230" t="s">
        <v>594</v>
      </c>
      <c r="P148" s="230">
        <v>10359.17</v>
      </c>
    </row>
    <row r="149" spans="2:16" x14ac:dyDescent="0.25">
      <c r="B149" s="181" t="s">
        <v>287</v>
      </c>
      <c r="C149" s="184">
        <v>44267</v>
      </c>
      <c r="D149" s="181">
        <v>1480.57668984</v>
      </c>
      <c r="E149" s="212">
        <v>1</v>
      </c>
      <c r="F149" s="198"/>
      <c r="G149" s="212" t="s">
        <v>596</v>
      </c>
      <c r="H149" s="212">
        <v>19182.95</v>
      </c>
      <c r="I149" s="158"/>
      <c r="K149" s="217"/>
      <c r="L149" s="217"/>
      <c r="M149" s="217"/>
      <c r="O149" s="230" t="s">
        <v>595</v>
      </c>
      <c r="P149" s="230">
        <v>7172.99</v>
      </c>
    </row>
    <row r="150" spans="2:16" x14ac:dyDescent="0.25">
      <c r="B150" s="181" t="s">
        <v>289</v>
      </c>
      <c r="C150" s="184">
        <v>44622</v>
      </c>
      <c r="D150" s="181">
        <v>4026.1048829199999</v>
      </c>
      <c r="E150" s="212">
        <v>1</v>
      </c>
      <c r="F150" s="198"/>
      <c r="G150" s="212" t="s">
        <v>597</v>
      </c>
      <c r="H150" s="212">
        <v>10879.13</v>
      </c>
      <c r="I150" s="158"/>
      <c r="K150" s="217"/>
      <c r="L150" s="217"/>
      <c r="M150" s="217"/>
      <c r="O150" s="230" t="s">
        <v>596</v>
      </c>
      <c r="P150" s="230">
        <v>18398.189999999999</v>
      </c>
    </row>
    <row r="151" spans="2:16" x14ac:dyDescent="0.25">
      <c r="B151" s="181" t="s">
        <v>541</v>
      </c>
      <c r="C151" s="184">
        <v>44622</v>
      </c>
      <c r="D151" s="181">
        <v>22183.396664169999</v>
      </c>
      <c r="E151" s="212">
        <v>1</v>
      </c>
      <c r="F151" s="198"/>
      <c r="G151" s="212" t="s">
        <v>598</v>
      </c>
      <c r="H151" s="212">
        <v>18762.36</v>
      </c>
      <c r="I151" s="158"/>
      <c r="K151" s="217"/>
      <c r="L151" s="217"/>
      <c r="M151" s="217"/>
      <c r="O151" s="230" t="s">
        <v>597</v>
      </c>
      <c r="P151" s="230">
        <v>10935.56</v>
      </c>
    </row>
    <row r="152" spans="2:16" x14ac:dyDescent="0.25">
      <c r="B152" s="181" t="s">
        <v>74</v>
      </c>
      <c r="C152" s="184">
        <v>43126</v>
      </c>
      <c r="D152" s="181">
        <v>57747.257279739999</v>
      </c>
      <c r="E152" s="212">
        <v>1</v>
      </c>
      <c r="F152" s="198"/>
      <c r="G152" s="212" t="s">
        <v>599</v>
      </c>
      <c r="H152" s="212">
        <v>7754.77</v>
      </c>
      <c r="I152" s="158"/>
      <c r="K152" s="217"/>
      <c r="L152" s="217"/>
      <c r="M152" s="217"/>
      <c r="O152" s="230" t="s">
        <v>598</v>
      </c>
      <c r="P152" s="230">
        <v>18750.169999999998</v>
      </c>
    </row>
    <row r="153" spans="2:16" x14ac:dyDescent="0.25">
      <c r="B153" s="181" t="s">
        <v>75</v>
      </c>
      <c r="C153" s="184">
        <v>43042</v>
      </c>
      <c r="D153" s="181">
        <v>84330.008150740003</v>
      </c>
      <c r="E153" s="212">
        <v>1</v>
      </c>
      <c r="F153" s="198"/>
      <c r="G153" s="212" t="s">
        <v>600</v>
      </c>
      <c r="H153" s="212">
        <v>3136.69</v>
      </c>
      <c r="I153" s="158"/>
      <c r="K153" s="217"/>
      <c r="L153" s="217"/>
      <c r="M153" s="217"/>
      <c r="O153" s="230" t="s">
        <v>599</v>
      </c>
      <c r="P153" s="230">
        <v>7811.74</v>
      </c>
    </row>
    <row r="154" spans="2:16" x14ac:dyDescent="0.25">
      <c r="B154" s="181" t="s">
        <v>293</v>
      </c>
      <c r="C154" s="184">
        <v>41250</v>
      </c>
      <c r="D154" s="181">
        <v>94719.679999999993</v>
      </c>
      <c r="E154" s="212">
        <v>1</v>
      </c>
      <c r="F154" s="198"/>
      <c r="G154" s="212" t="s">
        <v>601</v>
      </c>
      <c r="H154" s="212">
        <v>11094.35</v>
      </c>
      <c r="I154" s="158"/>
      <c r="K154" s="217"/>
      <c r="L154" s="217"/>
      <c r="M154" s="217"/>
      <c r="O154" s="230" t="s">
        <v>600</v>
      </c>
      <c r="P154" s="230">
        <v>3152.38</v>
      </c>
    </row>
    <row r="155" spans="2:16" x14ac:dyDescent="0.25">
      <c r="B155" s="181" t="s">
        <v>544</v>
      </c>
      <c r="C155" s="184">
        <v>42578</v>
      </c>
      <c r="D155" s="181">
        <v>13742.29947</v>
      </c>
      <c r="E155" s="212">
        <v>1</v>
      </c>
      <c r="F155" s="198"/>
      <c r="G155" s="212" t="s">
        <v>602</v>
      </c>
      <c r="H155" s="212">
        <v>13203.21</v>
      </c>
      <c r="I155" s="158"/>
      <c r="K155" s="217"/>
      <c r="L155" s="217"/>
      <c r="M155" s="217"/>
      <c r="O155" s="230" t="s">
        <v>601</v>
      </c>
      <c r="P155" s="230">
        <v>11355.73</v>
      </c>
    </row>
    <row r="156" spans="2:16" x14ac:dyDescent="0.25">
      <c r="B156" s="181" t="s">
        <v>306</v>
      </c>
      <c r="C156" s="184">
        <v>43875</v>
      </c>
      <c r="D156" s="181">
        <v>5900.4787694500001</v>
      </c>
      <c r="E156" s="212">
        <v>1</v>
      </c>
      <c r="F156" s="198"/>
      <c r="G156" s="212" t="s">
        <v>603</v>
      </c>
      <c r="H156" s="212">
        <v>67228.710000000006</v>
      </c>
      <c r="I156" s="158"/>
      <c r="K156" s="217"/>
      <c r="L156" s="217"/>
      <c r="M156" s="217"/>
      <c r="O156" s="230" t="s">
        <v>602</v>
      </c>
      <c r="P156" s="230">
        <v>12510.35</v>
      </c>
    </row>
    <row r="157" spans="2:16" x14ac:dyDescent="0.25">
      <c r="B157" s="181" t="s">
        <v>521</v>
      </c>
      <c r="C157" s="184">
        <v>44287</v>
      </c>
      <c r="D157" s="181">
        <v>49244.486816149998</v>
      </c>
      <c r="E157" s="212">
        <v>1</v>
      </c>
      <c r="F157" s="198"/>
      <c r="G157" s="212" t="s">
        <v>604</v>
      </c>
      <c r="H157" s="212">
        <v>11117.64</v>
      </c>
      <c r="I157" s="158"/>
      <c r="K157" s="217"/>
      <c r="L157" s="217"/>
      <c r="M157" s="217"/>
      <c r="O157" s="230" t="s">
        <v>622</v>
      </c>
      <c r="P157" s="230">
        <v>2639.13</v>
      </c>
    </row>
    <row r="158" spans="2:16" x14ac:dyDescent="0.25">
      <c r="B158" s="181" t="s">
        <v>520</v>
      </c>
      <c r="C158" s="184">
        <v>44649</v>
      </c>
      <c r="D158" s="181">
        <v>45484.202380390001</v>
      </c>
      <c r="E158" s="212">
        <v>1</v>
      </c>
      <c r="F158" s="198"/>
      <c r="G158" s="212" t="s">
        <v>605</v>
      </c>
      <c r="H158" s="212">
        <v>3898.87</v>
      </c>
      <c r="I158" s="158"/>
      <c r="K158" s="217"/>
      <c r="L158" s="217"/>
      <c r="M158" s="217"/>
      <c r="O158" s="230" t="s">
        <v>603</v>
      </c>
      <c r="P158" s="230">
        <v>73383.42</v>
      </c>
    </row>
    <row r="159" spans="2:16" x14ac:dyDescent="0.25">
      <c r="B159" s="181" t="s">
        <v>513</v>
      </c>
      <c r="C159" s="184">
        <v>44680</v>
      </c>
      <c r="D159" s="181">
        <v>39811.523100680002</v>
      </c>
      <c r="E159" s="212">
        <v>1</v>
      </c>
      <c r="F159" s="198"/>
      <c r="G159" s="212" t="s">
        <v>606</v>
      </c>
      <c r="H159" s="212">
        <v>16989.169999999998</v>
      </c>
      <c r="I159" s="158"/>
      <c r="K159" s="217"/>
      <c r="L159" s="217"/>
      <c r="M159" s="217"/>
      <c r="O159" s="230" t="s">
        <v>604</v>
      </c>
      <c r="P159" s="230">
        <v>11373.36</v>
      </c>
    </row>
    <row r="160" spans="2:16" x14ac:dyDescent="0.25">
      <c r="B160" s="181" t="s">
        <v>314</v>
      </c>
      <c r="C160" s="184">
        <v>44650</v>
      </c>
      <c r="D160" s="181">
        <v>5097.0536857899997</v>
      </c>
      <c r="E160" s="212">
        <v>1</v>
      </c>
      <c r="F160" s="198"/>
      <c r="G160" s="212" t="s">
        <v>607</v>
      </c>
      <c r="H160" s="212">
        <v>7892.31</v>
      </c>
      <c r="I160" s="158"/>
      <c r="K160" s="217"/>
      <c r="L160" s="217"/>
      <c r="M160" s="217"/>
      <c r="O160" s="230" t="s">
        <v>605</v>
      </c>
      <c r="P160" s="230">
        <v>3642.9</v>
      </c>
    </row>
    <row r="161" spans="2:16" x14ac:dyDescent="0.25">
      <c r="B161" s="181" t="s">
        <v>318</v>
      </c>
      <c r="C161" s="184">
        <v>43125</v>
      </c>
      <c r="D161" s="181">
        <v>11610.59631465</v>
      </c>
      <c r="E161" s="212">
        <v>1</v>
      </c>
      <c r="F161" s="198"/>
      <c r="G161" s="212" t="s">
        <v>608</v>
      </c>
      <c r="H161" s="212">
        <v>8655.1299999999992</v>
      </c>
      <c r="I161" s="158"/>
      <c r="K161" s="217"/>
      <c r="L161" s="217"/>
      <c r="M161" s="217"/>
      <c r="O161" s="230" t="s">
        <v>606</v>
      </c>
      <c r="P161" s="230">
        <v>17672.12</v>
      </c>
    </row>
    <row r="162" spans="2:16" x14ac:dyDescent="0.25">
      <c r="B162" s="181" t="s">
        <v>320</v>
      </c>
      <c r="C162" s="184">
        <v>44622</v>
      </c>
      <c r="D162" s="181">
        <v>13597.228265719999</v>
      </c>
      <c r="E162" s="212">
        <v>1</v>
      </c>
      <c r="F162" s="198"/>
      <c r="G162" s="212" t="s">
        <v>609</v>
      </c>
      <c r="H162" s="212">
        <v>34691.870000000003</v>
      </c>
      <c r="I162" s="158"/>
      <c r="K162" s="217"/>
      <c r="L162" s="217"/>
      <c r="M162" s="217"/>
      <c r="O162" s="230" t="s">
        <v>607</v>
      </c>
      <c r="P162" s="230">
        <v>8071.65</v>
      </c>
    </row>
    <row r="163" spans="2:16" x14ac:dyDescent="0.25">
      <c r="B163" s="181" t="s">
        <v>321</v>
      </c>
      <c r="C163" s="184">
        <v>44221</v>
      </c>
      <c r="D163" s="181">
        <v>59872.37</v>
      </c>
      <c r="E163" s="212">
        <v>1</v>
      </c>
      <c r="F163" s="198"/>
      <c r="G163" s="212" t="s">
        <v>610</v>
      </c>
      <c r="H163" s="212">
        <v>2179.9</v>
      </c>
      <c r="I163" s="158"/>
      <c r="K163" s="217"/>
      <c r="L163" s="217"/>
      <c r="M163" s="217"/>
      <c r="O163" s="230" t="s">
        <v>608</v>
      </c>
      <c r="P163" s="230">
        <v>8330.2999999999993</v>
      </c>
    </row>
    <row r="164" spans="2:16" x14ac:dyDescent="0.25">
      <c r="B164" s="181" t="s">
        <v>325</v>
      </c>
      <c r="C164" s="184">
        <v>44264</v>
      </c>
      <c r="D164" s="181">
        <v>12719.63</v>
      </c>
      <c r="E164" s="212">
        <v>1</v>
      </c>
      <c r="F164" s="198"/>
      <c r="G164" s="212" t="s">
        <v>611</v>
      </c>
      <c r="H164" s="212">
        <v>1494.26</v>
      </c>
      <c r="I164" s="158"/>
      <c r="K164" s="217"/>
      <c r="L164" s="217"/>
      <c r="M164" s="217"/>
      <c r="O164" s="230" t="s">
        <v>609</v>
      </c>
      <c r="P164" s="230">
        <v>35766.660000000003</v>
      </c>
    </row>
    <row r="165" spans="2:16" x14ac:dyDescent="0.25">
      <c r="B165" s="181" t="s">
        <v>326</v>
      </c>
      <c r="C165" s="184">
        <v>41904</v>
      </c>
      <c r="D165" s="181">
        <v>5684.71</v>
      </c>
      <c r="E165" s="212">
        <v>1</v>
      </c>
      <c r="F165" s="198"/>
      <c r="G165" s="212" t="s">
        <v>612</v>
      </c>
      <c r="H165" s="212">
        <v>16150.45</v>
      </c>
      <c r="I165" s="158"/>
      <c r="K165" s="217"/>
      <c r="L165" s="217"/>
      <c r="M165" s="217"/>
      <c r="O165" s="230" t="s">
        <v>610</v>
      </c>
      <c r="P165" s="230">
        <v>2205.15</v>
      </c>
    </row>
    <row r="166" spans="2:16" x14ac:dyDescent="0.25">
      <c r="B166" s="181" t="s">
        <v>555</v>
      </c>
      <c r="C166" s="184">
        <v>44568</v>
      </c>
      <c r="D166" s="181">
        <v>9604.4266733599998</v>
      </c>
      <c r="E166" s="212">
        <v>1</v>
      </c>
      <c r="F166" s="198"/>
      <c r="G166" s="212" t="s">
        <v>613</v>
      </c>
      <c r="H166" s="212">
        <v>10294.01</v>
      </c>
      <c r="I166" s="158"/>
      <c r="K166" s="217"/>
      <c r="L166" s="217"/>
      <c r="M166" s="217"/>
      <c r="O166" s="230" t="s">
        <v>611</v>
      </c>
      <c r="P166" s="230">
        <v>1607.41</v>
      </c>
    </row>
    <row r="167" spans="2:16" x14ac:dyDescent="0.25">
      <c r="B167" s="181" t="s">
        <v>333</v>
      </c>
      <c r="C167" s="184">
        <v>42520</v>
      </c>
      <c r="D167" s="181">
        <v>31469.57</v>
      </c>
      <c r="E167" s="212">
        <v>1</v>
      </c>
      <c r="F167" s="198"/>
      <c r="G167" s="212" t="s">
        <v>614</v>
      </c>
      <c r="H167" s="212">
        <v>6770.06</v>
      </c>
      <c r="I167" s="158"/>
      <c r="K167" s="217"/>
      <c r="L167" s="217"/>
      <c r="M167" s="217"/>
      <c r="O167" s="230" t="s">
        <v>612</v>
      </c>
      <c r="P167" s="230">
        <v>16545.03</v>
      </c>
    </row>
    <row r="168" spans="2:16" x14ac:dyDescent="0.25">
      <c r="B168" s="181" t="s">
        <v>558</v>
      </c>
      <c r="C168" s="184">
        <v>44567</v>
      </c>
      <c r="D168" s="181">
        <v>1162.66834156</v>
      </c>
      <c r="E168" s="212">
        <v>1</v>
      </c>
      <c r="F168" s="198"/>
      <c r="G168" s="212" t="s">
        <v>615</v>
      </c>
      <c r="H168" s="212">
        <v>20841.05</v>
      </c>
      <c r="I168" s="158"/>
      <c r="K168" s="217"/>
      <c r="L168" s="217"/>
      <c r="M168" s="217"/>
      <c r="O168" s="230" t="s">
        <v>613</v>
      </c>
      <c r="P168" s="230">
        <v>9806.7800000000007</v>
      </c>
    </row>
    <row r="169" spans="2:16" x14ac:dyDescent="0.25">
      <c r="B169" s="181" t="s">
        <v>337</v>
      </c>
      <c r="C169" s="184">
        <v>42521</v>
      </c>
      <c r="D169" s="181">
        <v>12168.93</v>
      </c>
      <c r="E169" s="212">
        <v>1</v>
      </c>
      <c r="F169" s="198"/>
      <c r="G169" s="212" t="s">
        <v>616</v>
      </c>
      <c r="H169" s="212">
        <v>10604.11</v>
      </c>
      <c r="I169" s="158"/>
      <c r="K169" s="217"/>
      <c r="L169" s="217"/>
      <c r="M169" s="217"/>
      <c r="O169" s="230" t="s">
        <v>614</v>
      </c>
      <c r="P169" s="230">
        <v>6391.54</v>
      </c>
    </row>
    <row r="170" spans="2:16" x14ac:dyDescent="0.25">
      <c r="B170" s="181" t="s">
        <v>563</v>
      </c>
      <c r="C170" s="184">
        <v>44509</v>
      </c>
      <c r="D170" s="181">
        <v>3120.0225195799999</v>
      </c>
      <c r="E170" s="212">
        <v>1</v>
      </c>
      <c r="F170" s="198"/>
      <c r="G170" s="212" t="s">
        <v>617</v>
      </c>
      <c r="H170" s="212">
        <v>10231.209999999999</v>
      </c>
      <c r="I170" s="158"/>
      <c r="K170" s="217"/>
      <c r="L170" s="217"/>
      <c r="M170" s="217"/>
      <c r="O170" s="230" t="s">
        <v>615</v>
      </c>
      <c r="P170" s="230">
        <v>21365</v>
      </c>
    </row>
    <row r="171" spans="2:16" x14ac:dyDescent="0.25">
      <c r="B171" s="181" t="s">
        <v>571</v>
      </c>
      <c r="C171" s="184">
        <v>44603</v>
      </c>
      <c r="D171" s="181">
        <v>3907.0987884599999</v>
      </c>
      <c r="E171" s="212">
        <v>1</v>
      </c>
      <c r="F171" s="198"/>
      <c r="G171" s="212" t="s">
        <v>618</v>
      </c>
      <c r="H171" s="212">
        <v>8400.07</v>
      </c>
      <c r="I171" s="158"/>
      <c r="K171" s="217"/>
      <c r="L171" s="217"/>
      <c r="M171" s="217"/>
      <c r="O171" s="230" t="s">
        <v>616</v>
      </c>
      <c r="P171" s="230">
        <v>10052.9</v>
      </c>
    </row>
    <row r="172" spans="2:16" x14ac:dyDescent="0.25">
      <c r="B172" s="181" t="s">
        <v>577</v>
      </c>
      <c r="C172" s="184">
        <v>44664</v>
      </c>
      <c r="D172" s="181">
        <v>208540.17336541999</v>
      </c>
      <c r="E172" s="212">
        <v>1</v>
      </c>
      <c r="F172" s="198"/>
      <c r="G172" s="212" t="s">
        <v>619</v>
      </c>
      <c r="H172" s="212">
        <v>71729.84</v>
      </c>
      <c r="I172" s="158"/>
      <c r="K172" s="217"/>
      <c r="L172" s="217"/>
      <c r="M172" s="217"/>
      <c r="O172" s="230" t="s">
        <v>617</v>
      </c>
      <c r="P172" s="230">
        <v>11206.78</v>
      </c>
    </row>
    <row r="173" spans="2:16" x14ac:dyDescent="0.25">
      <c r="B173" s="181" t="s">
        <v>578</v>
      </c>
      <c r="C173" s="184">
        <v>44711</v>
      </c>
      <c r="D173" s="181">
        <v>28523.74775694</v>
      </c>
      <c r="E173" s="212">
        <v>1</v>
      </c>
      <c r="F173" s="198"/>
      <c r="G173" s="212" t="s">
        <v>620</v>
      </c>
      <c r="H173" s="212">
        <v>1114.3900000000001</v>
      </c>
      <c r="I173" s="158"/>
      <c r="K173" s="217"/>
      <c r="L173" s="217"/>
      <c r="M173" s="217"/>
      <c r="O173" s="230" t="s">
        <v>618</v>
      </c>
      <c r="P173" s="230">
        <v>7985.14</v>
      </c>
    </row>
    <row r="174" spans="2:16" x14ac:dyDescent="0.25">
      <c r="B174" s="181" t="s">
        <v>347</v>
      </c>
      <c r="C174" s="184">
        <v>43587</v>
      </c>
      <c r="D174" s="181">
        <v>21217.81</v>
      </c>
      <c r="E174" s="212">
        <v>1</v>
      </c>
      <c r="F174" s="198"/>
      <c r="G174" s="212"/>
      <c r="H174" s="212"/>
      <c r="I174" s="158"/>
      <c r="K174" s="217"/>
      <c r="L174" s="217"/>
      <c r="M174" s="217"/>
      <c r="O174" s="230" t="s">
        <v>619</v>
      </c>
      <c r="P174" s="230">
        <v>74578.899999999994</v>
      </c>
    </row>
    <row r="175" spans="2:16" x14ac:dyDescent="0.25">
      <c r="B175" s="181" t="s">
        <v>361</v>
      </c>
      <c r="C175" s="184">
        <v>42122</v>
      </c>
      <c r="D175" s="181">
        <v>13908.83</v>
      </c>
      <c r="E175" s="212">
        <v>1</v>
      </c>
      <c r="F175" s="198"/>
      <c r="G175" s="212"/>
      <c r="H175" s="212"/>
      <c r="I175" s="158"/>
      <c r="K175" s="217"/>
      <c r="L175" s="217"/>
      <c r="M175" s="217"/>
      <c r="O175" s="230" t="s">
        <v>620</v>
      </c>
      <c r="P175" s="230">
        <v>981.44</v>
      </c>
    </row>
    <row r="176" spans="2:16" x14ac:dyDescent="0.25">
      <c r="B176" s="181" t="s">
        <v>606</v>
      </c>
      <c r="C176" s="184">
        <v>44362</v>
      </c>
      <c r="D176" s="181">
        <v>19810.88</v>
      </c>
      <c r="E176" s="212">
        <v>1</v>
      </c>
      <c r="F176" s="198"/>
      <c r="G176" s="212"/>
      <c r="H176" s="212"/>
      <c r="I176" s="158"/>
      <c r="K176" s="217"/>
      <c r="L176" s="217"/>
      <c r="M176" s="217"/>
      <c r="O176" s="230"/>
      <c r="P176" s="230"/>
    </row>
    <row r="177" spans="2:16" x14ac:dyDescent="0.25">
      <c r="B177" s="181" t="s">
        <v>607</v>
      </c>
      <c r="C177" s="184">
        <v>44350</v>
      </c>
      <c r="D177" s="181">
        <v>10110.48</v>
      </c>
      <c r="E177" s="212">
        <v>1</v>
      </c>
      <c r="F177" s="198"/>
      <c r="G177" s="212"/>
      <c r="H177" s="212"/>
      <c r="I177" s="158"/>
      <c r="K177" s="217"/>
      <c r="L177" s="217"/>
      <c r="M177" s="217"/>
      <c r="O177" s="230"/>
      <c r="P177" s="230"/>
    </row>
    <row r="178" spans="2:16" x14ac:dyDescent="0.25">
      <c r="B178" s="181" t="s">
        <v>608</v>
      </c>
      <c r="C178" s="184">
        <v>44707</v>
      </c>
      <c r="D178" s="181">
        <v>8890.51</v>
      </c>
      <c r="E178" s="212">
        <v>1</v>
      </c>
      <c r="F178" s="198"/>
      <c r="G178" s="212"/>
      <c r="H178" s="212"/>
      <c r="I178" s="158"/>
      <c r="K178" s="217"/>
      <c r="L178" s="217"/>
      <c r="M178" s="217"/>
      <c r="O178" s="230"/>
      <c r="P178" s="230"/>
    </row>
    <row r="179" spans="2:16" x14ac:dyDescent="0.25">
      <c r="B179" s="181" t="s">
        <v>612</v>
      </c>
      <c r="C179" s="184">
        <v>44603</v>
      </c>
      <c r="D179" s="181">
        <v>18572.78</v>
      </c>
      <c r="E179" s="212">
        <v>1</v>
      </c>
      <c r="F179" s="198"/>
      <c r="G179" s="212"/>
      <c r="H179" s="212"/>
      <c r="I179" s="158"/>
      <c r="K179" s="217"/>
      <c r="L179" s="217"/>
      <c r="M179" s="217"/>
      <c r="O179" s="230"/>
      <c r="P179" s="230"/>
    </row>
    <row r="180" spans="2:16" x14ac:dyDescent="0.25">
      <c r="B180" s="181" t="s">
        <v>379</v>
      </c>
      <c r="C180" s="184">
        <v>38027</v>
      </c>
      <c r="D180" s="181">
        <v>108.65</v>
      </c>
      <c r="E180" s="212">
        <v>1</v>
      </c>
      <c r="F180" s="198"/>
      <c r="G180" s="212"/>
      <c r="H180" s="212"/>
      <c r="I180" s="158"/>
      <c r="K180" s="217"/>
      <c r="L180" s="217"/>
      <c r="M180" s="217"/>
      <c r="O180" s="230"/>
      <c r="P180" s="230"/>
    </row>
    <row r="181" spans="2:16" x14ac:dyDescent="0.25">
      <c r="B181" s="181" t="s">
        <v>380</v>
      </c>
      <c r="C181" s="184">
        <v>37757</v>
      </c>
      <c r="D181" s="181">
        <v>125</v>
      </c>
      <c r="E181" s="212">
        <v>1</v>
      </c>
      <c r="F181" s="198"/>
      <c r="G181" s="212"/>
      <c r="H181" s="212"/>
      <c r="I181" s="158"/>
      <c r="K181" s="217"/>
      <c r="L181" s="217"/>
      <c r="M181" s="217"/>
      <c r="O181" s="230"/>
      <c r="P181" s="230"/>
    </row>
    <row r="182" spans="2:16" x14ac:dyDescent="0.25">
      <c r="B182" s="181" t="s">
        <v>391</v>
      </c>
      <c r="C182" s="184">
        <v>38370</v>
      </c>
      <c r="D182" s="181">
        <v>242.71</v>
      </c>
      <c r="E182" s="212">
        <v>1</v>
      </c>
      <c r="F182" s="198"/>
      <c r="G182" s="212"/>
      <c r="H182" s="212"/>
      <c r="I182" s="158"/>
      <c r="K182" s="217"/>
      <c r="L182" s="217"/>
      <c r="M182" s="217"/>
      <c r="O182" s="230"/>
      <c r="P182" s="230"/>
    </row>
    <row r="183" spans="2:16" x14ac:dyDescent="0.25">
      <c r="B183" s="181" t="s">
        <v>392</v>
      </c>
      <c r="C183" s="184">
        <v>38706</v>
      </c>
      <c r="D183" s="181">
        <v>128.63</v>
      </c>
      <c r="E183" s="212">
        <v>1</v>
      </c>
      <c r="F183" s="198"/>
      <c r="G183" s="212"/>
      <c r="H183" s="212"/>
      <c r="I183" s="158"/>
      <c r="K183" s="217"/>
      <c r="L183" s="217"/>
      <c r="M183" s="217"/>
      <c r="O183" s="230"/>
      <c r="P183" s="230"/>
    </row>
    <row r="184" spans="2:16" x14ac:dyDescent="0.25">
      <c r="B184" s="181" t="s">
        <v>401</v>
      </c>
      <c r="C184" s="184">
        <v>42552</v>
      </c>
      <c r="D184" s="181">
        <v>1062.7544994699999</v>
      </c>
      <c r="E184" s="212">
        <v>1</v>
      </c>
      <c r="F184" s="198"/>
      <c r="G184" s="212"/>
      <c r="H184" s="212"/>
      <c r="I184" s="158"/>
      <c r="K184" s="217"/>
      <c r="L184" s="217"/>
      <c r="M184" s="217"/>
      <c r="O184" s="230"/>
      <c r="P184" s="230"/>
    </row>
    <row r="185" spans="2:16" x14ac:dyDescent="0.25">
      <c r="B185" s="181" t="s">
        <v>403</v>
      </c>
      <c r="C185" s="184">
        <v>42550</v>
      </c>
      <c r="D185" s="181">
        <v>147.67885862</v>
      </c>
      <c r="E185" s="212">
        <v>1</v>
      </c>
      <c r="F185" s="198"/>
      <c r="G185" s="212"/>
      <c r="H185" s="212"/>
      <c r="I185" s="158"/>
      <c r="K185" s="217"/>
      <c r="L185" s="217"/>
      <c r="M185" s="217"/>
      <c r="O185" s="230"/>
      <c r="P185" s="230"/>
    </row>
    <row r="186" spans="2:16" x14ac:dyDescent="0.25">
      <c r="B186" s="181" t="s">
        <v>413</v>
      </c>
      <c r="C186" s="184">
        <v>42479</v>
      </c>
      <c r="D186" s="181">
        <v>517.55154836999998</v>
      </c>
      <c r="E186" s="212">
        <v>1</v>
      </c>
      <c r="F186" s="198"/>
      <c r="G186" s="212"/>
      <c r="H186" s="212"/>
      <c r="I186" s="158"/>
      <c r="K186" s="217"/>
      <c r="L186" s="217"/>
      <c r="M186" s="217"/>
      <c r="O186" s="230"/>
      <c r="P186" s="230"/>
    </row>
    <row r="187" spans="2:16" x14ac:dyDescent="0.25">
      <c r="B187" s="181" t="s">
        <v>416</v>
      </c>
      <c r="C187" s="184">
        <v>42030</v>
      </c>
      <c r="D187" s="181">
        <v>227.86509369000001</v>
      </c>
      <c r="E187" s="212">
        <v>1</v>
      </c>
      <c r="F187" s="198"/>
      <c r="G187" s="212"/>
      <c r="H187" s="212"/>
      <c r="I187" s="158"/>
      <c r="K187" s="217"/>
      <c r="L187" s="217"/>
      <c r="M187" s="217"/>
      <c r="O187" s="230"/>
      <c r="P187" s="230"/>
    </row>
    <row r="188" spans="2:16" x14ac:dyDescent="0.25">
      <c r="B188" s="181" t="s">
        <v>418</v>
      </c>
      <c r="C188" s="184">
        <v>42339</v>
      </c>
      <c r="D188" s="181">
        <v>487.53221783999999</v>
      </c>
      <c r="E188" s="212">
        <v>1</v>
      </c>
      <c r="F188" s="198"/>
      <c r="G188" s="212"/>
      <c r="H188" s="212"/>
      <c r="I188" s="158"/>
      <c r="K188" s="217"/>
      <c r="L188" s="217"/>
      <c r="M188" s="217"/>
      <c r="O188" s="230"/>
      <c r="P188" s="230"/>
    </row>
    <row r="189" spans="2:16" x14ac:dyDescent="0.25">
      <c r="B189" s="181" t="s">
        <v>206</v>
      </c>
      <c r="C189" s="184">
        <v>38713</v>
      </c>
      <c r="D189" s="181">
        <v>17296.830000000002</v>
      </c>
      <c r="E189" s="212">
        <v>1</v>
      </c>
      <c r="F189" s="198"/>
      <c r="G189" s="212"/>
      <c r="H189" s="212"/>
      <c r="I189" s="158"/>
      <c r="K189" s="217"/>
      <c r="L189" s="217"/>
      <c r="M189" s="217"/>
      <c r="O189" s="230"/>
      <c r="P189" s="230"/>
    </row>
    <row r="190" spans="2:16" x14ac:dyDescent="0.25">
      <c r="B190" s="181" t="s">
        <v>218</v>
      </c>
      <c r="C190" s="184">
        <v>38709</v>
      </c>
      <c r="D190" s="181">
        <v>10955.45</v>
      </c>
      <c r="E190" s="212">
        <v>1</v>
      </c>
      <c r="F190" s="198"/>
      <c r="G190" s="212"/>
      <c r="H190" s="212"/>
      <c r="I190" s="158"/>
      <c r="K190" s="217"/>
      <c r="L190" s="217"/>
      <c r="M190" s="217"/>
      <c r="O190" s="230"/>
      <c r="P190" s="230"/>
    </row>
    <row r="191" spans="2:16" x14ac:dyDescent="0.25">
      <c r="B191" s="181" t="s">
        <v>219</v>
      </c>
      <c r="C191" s="184">
        <v>38580</v>
      </c>
      <c r="D191" s="181">
        <v>2321.6</v>
      </c>
      <c r="E191" s="212">
        <v>1</v>
      </c>
      <c r="F191" s="198"/>
      <c r="G191" s="212"/>
      <c r="H191" s="212"/>
      <c r="I191" s="158"/>
      <c r="K191" s="217"/>
      <c r="L191" s="217"/>
      <c r="M191" s="217"/>
      <c r="O191" s="230"/>
      <c r="P191" s="230"/>
    </row>
    <row r="192" spans="2:16" x14ac:dyDescent="0.25">
      <c r="B192" s="181" t="s">
        <v>222</v>
      </c>
      <c r="C192" s="184">
        <v>38663</v>
      </c>
      <c r="D192" s="181">
        <v>43569.17</v>
      </c>
      <c r="E192" s="212">
        <v>1</v>
      </c>
      <c r="F192" s="198"/>
      <c r="G192" s="212"/>
      <c r="H192" s="212"/>
      <c r="I192" s="158"/>
      <c r="K192" s="217"/>
      <c r="L192" s="217"/>
      <c r="M192" s="217"/>
      <c r="O192" s="230"/>
      <c r="P192" s="230"/>
    </row>
    <row r="193" spans="2:16" x14ac:dyDescent="0.25">
      <c r="B193" s="181" t="s">
        <v>226</v>
      </c>
      <c r="C193" s="184">
        <v>38716</v>
      </c>
      <c r="D193" s="181">
        <v>23744.76</v>
      </c>
      <c r="E193" s="212">
        <v>1</v>
      </c>
      <c r="F193" s="198"/>
      <c r="G193" s="212"/>
      <c r="H193" s="212"/>
      <c r="I193" s="158"/>
      <c r="K193" s="217"/>
      <c r="L193" s="217"/>
      <c r="M193" s="217"/>
      <c r="O193" s="230"/>
      <c r="P193" s="230"/>
    </row>
    <row r="194" spans="2:16" x14ac:dyDescent="0.25">
      <c r="B194" s="181" t="s">
        <v>237</v>
      </c>
      <c r="C194" s="184">
        <v>38713</v>
      </c>
      <c r="D194" s="181">
        <v>30401.200000000001</v>
      </c>
      <c r="E194" s="212">
        <v>1</v>
      </c>
      <c r="F194" s="198"/>
      <c r="G194" s="212"/>
      <c r="H194" s="212"/>
      <c r="I194" s="158"/>
      <c r="K194" s="217"/>
      <c r="L194" s="217"/>
      <c r="M194" s="217"/>
      <c r="O194" s="230"/>
      <c r="P194" s="230"/>
    </row>
    <row r="195" spans="2:16" x14ac:dyDescent="0.25">
      <c r="B195" s="181" t="s">
        <v>238</v>
      </c>
      <c r="C195" s="184">
        <v>38709</v>
      </c>
      <c r="D195" s="181">
        <v>16626.419999999998</v>
      </c>
      <c r="E195" s="212">
        <v>1</v>
      </c>
      <c r="F195" s="198"/>
      <c r="G195" s="212"/>
      <c r="H195" s="212"/>
      <c r="I195" s="158"/>
      <c r="K195" s="217"/>
      <c r="L195" s="217"/>
      <c r="M195" s="217"/>
      <c r="O195" s="230"/>
      <c r="P195" s="230"/>
    </row>
    <row r="196" spans="2:16" x14ac:dyDescent="0.25">
      <c r="B196" s="181" t="s">
        <v>248</v>
      </c>
      <c r="C196" s="184">
        <v>44622</v>
      </c>
      <c r="D196" s="181">
        <v>13916.479466909999</v>
      </c>
      <c r="E196" s="212">
        <v>1</v>
      </c>
      <c r="F196" s="198"/>
      <c r="G196" s="212"/>
      <c r="H196" s="212"/>
      <c r="I196" s="158"/>
      <c r="K196" s="217"/>
      <c r="L196" s="217"/>
      <c r="M196" s="217"/>
      <c r="O196" s="230"/>
      <c r="P196" s="230"/>
    </row>
    <row r="197" spans="2:16" x14ac:dyDescent="0.25">
      <c r="B197" s="181" t="s">
        <v>99</v>
      </c>
      <c r="C197" s="184">
        <v>39587</v>
      </c>
      <c r="D197" s="181">
        <v>146.47999999999999</v>
      </c>
      <c r="E197" s="212">
        <v>1</v>
      </c>
      <c r="F197" s="198"/>
      <c r="G197" s="198"/>
      <c r="H197" s="198"/>
      <c r="K197" s="217"/>
      <c r="L197" s="217"/>
      <c r="M197" s="217"/>
      <c r="O197" s="228"/>
      <c r="P197" s="228"/>
    </row>
    <row r="198" spans="2:16" x14ac:dyDescent="0.25">
      <c r="B198" s="181" t="s">
        <v>256</v>
      </c>
      <c r="C198" s="184">
        <v>39604</v>
      </c>
      <c r="D198" s="181">
        <v>61121.71</v>
      </c>
      <c r="E198" s="212">
        <v>1</v>
      </c>
      <c r="F198" s="198"/>
      <c r="G198" s="198"/>
      <c r="H198" s="198"/>
      <c r="K198" s="217"/>
      <c r="L198" s="217"/>
      <c r="M198" s="217"/>
      <c r="O198" s="228"/>
      <c r="P198" s="228"/>
    </row>
    <row r="199" spans="2:16" x14ac:dyDescent="0.25">
      <c r="B199" s="181" t="s">
        <v>46</v>
      </c>
      <c r="C199" s="184">
        <v>44657</v>
      </c>
      <c r="D199" s="181">
        <v>71134.491873029998</v>
      </c>
      <c r="E199" s="212">
        <v>1</v>
      </c>
      <c r="F199" s="198"/>
      <c r="G199" s="198"/>
      <c r="H199" s="198"/>
      <c r="K199" s="217"/>
      <c r="L199" s="217"/>
      <c r="M199" s="217"/>
      <c r="O199" s="228"/>
      <c r="P199" s="228"/>
    </row>
    <row r="200" spans="2:16" x14ac:dyDescent="0.25">
      <c r="B200" s="181" t="s">
        <v>42</v>
      </c>
      <c r="C200" s="184">
        <v>44622</v>
      </c>
      <c r="D200" s="181">
        <v>77536.116505500002</v>
      </c>
      <c r="E200" s="212">
        <v>1</v>
      </c>
      <c r="F200" s="198"/>
      <c r="G200" s="198"/>
      <c r="H200" s="198"/>
      <c r="K200" s="217"/>
      <c r="L200" s="217"/>
      <c r="M200" s="217"/>
      <c r="O200" s="228"/>
      <c r="P200" s="228"/>
    </row>
    <row r="201" spans="2:16" x14ac:dyDescent="0.25">
      <c r="B201" s="181" t="s">
        <v>48</v>
      </c>
      <c r="C201" s="184">
        <v>44578</v>
      </c>
      <c r="D201" s="181">
        <v>8955.0713737599999</v>
      </c>
      <c r="E201" s="212">
        <v>1</v>
      </c>
      <c r="F201" s="198"/>
      <c r="G201" s="198"/>
      <c r="H201" s="198"/>
      <c r="K201" s="217"/>
      <c r="L201" s="217"/>
      <c r="M201" s="217"/>
      <c r="O201" s="228"/>
      <c r="P201" s="228"/>
    </row>
    <row r="202" spans="2:16" x14ac:dyDescent="0.25">
      <c r="B202" s="181" t="s">
        <v>66</v>
      </c>
      <c r="C202" s="184">
        <v>43165</v>
      </c>
      <c r="D202" s="181">
        <v>18847.577311370002</v>
      </c>
      <c r="E202" s="212">
        <v>1</v>
      </c>
      <c r="F202" s="198"/>
      <c r="G202" s="198"/>
      <c r="H202" s="198"/>
      <c r="K202" s="217"/>
      <c r="L202" s="217"/>
      <c r="M202" s="217"/>
      <c r="O202" s="228"/>
      <c r="P202" s="228"/>
    </row>
    <row r="203" spans="2:16" x14ac:dyDescent="0.25">
      <c r="B203" s="181" t="s">
        <v>68</v>
      </c>
      <c r="C203" s="184">
        <v>44565</v>
      </c>
      <c r="D203" s="181">
        <v>94569.496462859999</v>
      </c>
      <c r="E203" s="212">
        <v>1</v>
      </c>
      <c r="F203" s="198"/>
      <c r="G203" s="198"/>
      <c r="H203" s="198"/>
      <c r="K203" s="217"/>
      <c r="L203" s="217"/>
      <c r="M203" s="217"/>
      <c r="O203" s="228"/>
      <c r="P203" s="228"/>
    </row>
    <row r="204" spans="2:16" x14ac:dyDescent="0.25">
      <c r="B204" s="181" t="s">
        <v>102</v>
      </c>
      <c r="C204" s="184">
        <v>42346</v>
      </c>
      <c r="D204" s="181">
        <v>1703.8449540300001</v>
      </c>
      <c r="E204" s="212">
        <v>1</v>
      </c>
      <c r="F204" s="198"/>
      <c r="G204" s="198"/>
      <c r="H204" s="198"/>
      <c r="K204" s="217"/>
      <c r="L204" s="217"/>
      <c r="M204" s="217"/>
      <c r="O204" s="228"/>
      <c r="P204" s="228"/>
    </row>
    <row r="205" spans="2:16" x14ac:dyDescent="0.25">
      <c r="B205" s="181" t="s">
        <v>264</v>
      </c>
      <c r="C205" s="184">
        <v>43738</v>
      </c>
      <c r="D205" s="181">
        <v>562.66120274000002</v>
      </c>
      <c r="E205" s="212">
        <v>1</v>
      </c>
      <c r="F205" s="198"/>
      <c r="G205" s="198"/>
      <c r="H205" s="198"/>
      <c r="K205" s="217"/>
      <c r="L205" s="217"/>
      <c r="M205" s="217"/>
      <c r="O205" s="228"/>
      <c r="P205" s="228"/>
    </row>
    <row r="206" spans="2:16" x14ac:dyDescent="0.25">
      <c r="B206" s="181" t="s">
        <v>92</v>
      </c>
      <c r="C206" s="184">
        <v>42305</v>
      </c>
      <c r="D206" s="181">
        <v>597.8558587</v>
      </c>
      <c r="E206" s="212">
        <v>1</v>
      </c>
      <c r="F206" s="198"/>
      <c r="G206" s="198"/>
      <c r="H206" s="198"/>
      <c r="K206" s="217"/>
      <c r="L206" s="217"/>
      <c r="M206" s="217"/>
      <c r="O206" s="228"/>
      <c r="P206" s="228"/>
    </row>
    <row r="207" spans="2:16" x14ac:dyDescent="0.25">
      <c r="B207" s="181" t="s">
        <v>278</v>
      </c>
      <c r="C207" s="184">
        <v>43125</v>
      </c>
      <c r="D207" s="181">
        <v>11425.13000949</v>
      </c>
      <c r="E207" s="212">
        <v>1</v>
      </c>
      <c r="F207" s="198"/>
      <c r="G207" s="198"/>
      <c r="H207" s="198"/>
      <c r="K207" s="217"/>
      <c r="L207" s="217"/>
      <c r="M207" s="217"/>
      <c r="O207" s="228"/>
      <c r="P207" s="228"/>
    </row>
    <row r="208" spans="2:16" x14ac:dyDescent="0.25">
      <c r="B208" s="181" t="s">
        <v>283</v>
      </c>
      <c r="C208" s="184">
        <v>40581</v>
      </c>
      <c r="D208" s="181">
        <v>82132.160000000003</v>
      </c>
      <c r="E208" s="212">
        <v>1</v>
      </c>
      <c r="F208" s="198"/>
      <c r="G208" s="198"/>
      <c r="H208" s="198"/>
      <c r="K208" s="217"/>
      <c r="L208" s="217"/>
      <c r="M208" s="217"/>
      <c r="O208" s="228"/>
      <c r="P208" s="228"/>
    </row>
    <row r="209" spans="2:5" x14ac:dyDescent="0.25">
      <c r="B209" s="181" t="s">
        <v>286</v>
      </c>
      <c r="C209" s="184">
        <v>38840</v>
      </c>
      <c r="D209" s="181">
        <v>2905.13</v>
      </c>
      <c r="E209" s="212">
        <v>1</v>
      </c>
    </row>
    <row r="210" spans="2:5" x14ac:dyDescent="0.25">
      <c r="B210" s="181" t="s">
        <v>52</v>
      </c>
      <c r="C210" s="184">
        <v>44622</v>
      </c>
      <c r="D210" s="181">
        <v>14949.15963441</v>
      </c>
      <c r="E210" s="212">
        <v>1</v>
      </c>
    </row>
    <row r="211" spans="2:5" x14ac:dyDescent="0.25">
      <c r="B211" s="181" t="s">
        <v>72</v>
      </c>
      <c r="C211" s="184">
        <v>44263</v>
      </c>
      <c r="D211" s="181">
        <v>51535.333108639999</v>
      </c>
      <c r="E211" s="212">
        <v>1</v>
      </c>
    </row>
    <row r="212" spans="2:5" x14ac:dyDescent="0.25">
      <c r="B212" s="181" t="s">
        <v>84</v>
      </c>
      <c r="C212" s="184">
        <v>41893</v>
      </c>
      <c r="D212" s="181">
        <v>95446.135778840006</v>
      </c>
      <c r="E212" s="212">
        <v>1</v>
      </c>
    </row>
    <row r="213" spans="2:5" x14ac:dyDescent="0.25">
      <c r="B213" s="181" t="s">
        <v>295</v>
      </c>
      <c r="C213" s="184">
        <v>40581</v>
      </c>
      <c r="D213" s="181">
        <v>88089.14</v>
      </c>
      <c r="E213" s="212">
        <v>1</v>
      </c>
    </row>
    <row r="214" spans="2:5" x14ac:dyDescent="0.25">
      <c r="B214" s="181" t="s">
        <v>296</v>
      </c>
      <c r="C214" s="184">
        <v>42655</v>
      </c>
      <c r="D214" s="181">
        <v>6829.7257960500001</v>
      </c>
      <c r="E214" s="212">
        <v>1</v>
      </c>
    </row>
    <row r="215" spans="2:5" x14ac:dyDescent="0.25">
      <c r="B215" s="181" t="s">
        <v>297</v>
      </c>
      <c r="C215" s="184">
        <v>43125</v>
      </c>
      <c r="D215" s="181">
        <v>9856.3269865999991</v>
      </c>
      <c r="E215" s="212">
        <v>1</v>
      </c>
    </row>
    <row r="216" spans="2:5" x14ac:dyDescent="0.25">
      <c r="B216" s="181" t="s">
        <v>300</v>
      </c>
      <c r="C216" s="184">
        <v>39381</v>
      </c>
      <c r="D216" s="181">
        <v>42355.94</v>
      </c>
      <c r="E216" s="212">
        <v>1</v>
      </c>
    </row>
    <row r="217" spans="2:5" x14ac:dyDescent="0.25">
      <c r="B217" s="181" t="s">
        <v>304</v>
      </c>
      <c r="C217" s="184">
        <v>39209</v>
      </c>
      <c r="D217" s="181">
        <v>910.48</v>
      </c>
      <c r="E217" s="212">
        <v>1</v>
      </c>
    </row>
    <row r="218" spans="2:5" x14ac:dyDescent="0.25">
      <c r="B218" s="181" t="s">
        <v>523</v>
      </c>
      <c r="C218" s="184">
        <v>44467</v>
      </c>
      <c r="D218" s="181">
        <v>5917.4404180399997</v>
      </c>
      <c r="E218" s="212">
        <v>1</v>
      </c>
    </row>
    <row r="219" spans="2:5" x14ac:dyDescent="0.25">
      <c r="B219" s="181" t="s">
        <v>517</v>
      </c>
      <c r="C219" s="184">
        <v>44538</v>
      </c>
      <c r="D219" s="181">
        <v>34369.73630792</v>
      </c>
      <c r="E219" s="212">
        <v>1</v>
      </c>
    </row>
    <row r="220" spans="2:5" x14ac:dyDescent="0.25">
      <c r="B220" s="181" t="s">
        <v>315</v>
      </c>
      <c r="C220" s="184">
        <v>44622</v>
      </c>
      <c r="D220" s="181">
        <v>77536.116505490005</v>
      </c>
      <c r="E220" s="212">
        <v>1</v>
      </c>
    </row>
    <row r="221" spans="2:5" x14ac:dyDescent="0.25">
      <c r="B221" s="181" t="s">
        <v>319</v>
      </c>
      <c r="C221" s="184">
        <v>44622</v>
      </c>
      <c r="D221" s="181">
        <v>5066.9148220400002</v>
      </c>
      <c r="E221" s="212">
        <v>1</v>
      </c>
    </row>
    <row r="222" spans="2:5" x14ac:dyDescent="0.25">
      <c r="B222" s="181" t="s">
        <v>323</v>
      </c>
      <c r="C222" s="184">
        <v>43348</v>
      </c>
      <c r="D222" s="181">
        <v>19072.88</v>
      </c>
      <c r="E222" s="212">
        <v>1</v>
      </c>
    </row>
    <row r="223" spans="2:5" x14ac:dyDescent="0.25">
      <c r="B223" s="181" t="s">
        <v>330</v>
      </c>
      <c r="C223" s="184">
        <v>43131</v>
      </c>
      <c r="D223" s="181">
        <v>8207.27</v>
      </c>
      <c r="E223" s="212">
        <v>1</v>
      </c>
    </row>
    <row r="224" spans="2:5" x14ac:dyDescent="0.25">
      <c r="B224" s="181" t="s">
        <v>557</v>
      </c>
      <c r="C224" s="184">
        <v>44685</v>
      </c>
      <c r="D224" s="181">
        <v>81598.783753540003</v>
      </c>
      <c r="E224" s="212">
        <v>1</v>
      </c>
    </row>
    <row r="225" spans="2:5" x14ac:dyDescent="0.25">
      <c r="B225" s="181" t="s">
        <v>559</v>
      </c>
      <c r="C225" s="184">
        <v>44481</v>
      </c>
      <c r="D225" s="181">
        <v>6992.6479164800003</v>
      </c>
      <c r="E225" s="212">
        <v>1</v>
      </c>
    </row>
    <row r="226" spans="2:5" x14ac:dyDescent="0.25">
      <c r="B226" s="181" t="s">
        <v>561</v>
      </c>
      <c r="C226" s="184">
        <v>44538</v>
      </c>
      <c r="D226" s="181">
        <v>2486.7305208799999</v>
      </c>
      <c r="E226" s="212">
        <v>1</v>
      </c>
    </row>
    <row r="227" spans="2:5" x14ac:dyDescent="0.25">
      <c r="B227" s="181" t="s">
        <v>566</v>
      </c>
      <c r="C227" s="184">
        <v>44707</v>
      </c>
      <c r="D227" s="181">
        <v>9054.6634350000004</v>
      </c>
      <c r="E227" s="212">
        <v>1</v>
      </c>
    </row>
    <row r="228" spans="2:5" x14ac:dyDescent="0.25">
      <c r="B228" s="181" t="s">
        <v>575</v>
      </c>
      <c r="C228" s="184">
        <v>44621</v>
      </c>
      <c r="D228" s="181">
        <v>75185.759196829997</v>
      </c>
      <c r="E228" s="212">
        <v>1</v>
      </c>
    </row>
    <row r="229" spans="2:5" x14ac:dyDescent="0.25">
      <c r="B229" s="181" t="s">
        <v>344</v>
      </c>
      <c r="C229" s="184">
        <v>43627</v>
      </c>
      <c r="D229" s="181">
        <v>9352.09</v>
      </c>
      <c r="E229" s="212">
        <v>1</v>
      </c>
    </row>
    <row r="230" spans="2:5" x14ac:dyDescent="0.25">
      <c r="B230" s="181" t="s">
        <v>348</v>
      </c>
      <c r="C230" s="184">
        <v>43165</v>
      </c>
      <c r="D230" s="181">
        <v>15182</v>
      </c>
      <c r="E230" s="212">
        <v>1</v>
      </c>
    </row>
    <row r="231" spans="2:5" x14ac:dyDescent="0.25">
      <c r="B231" s="181" t="s">
        <v>353</v>
      </c>
      <c r="C231" s="184">
        <v>42222</v>
      </c>
      <c r="D231" s="181">
        <v>28083.96</v>
      </c>
      <c r="E231" s="212">
        <v>1</v>
      </c>
    </row>
    <row r="232" spans="2:5" x14ac:dyDescent="0.25">
      <c r="B232" s="181" t="s">
        <v>356</v>
      </c>
      <c r="C232" s="184">
        <v>44264</v>
      </c>
      <c r="D232" s="181">
        <v>10031.93</v>
      </c>
      <c r="E232" s="212">
        <v>1</v>
      </c>
    </row>
    <row r="233" spans="2:5" x14ac:dyDescent="0.25">
      <c r="B233" s="181" t="s">
        <v>368</v>
      </c>
      <c r="C233" s="184">
        <v>44622</v>
      </c>
      <c r="D233" s="181">
        <v>9798.27</v>
      </c>
      <c r="E233" s="212">
        <v>1</v>
      </c>
    </row>
    <row r="234" spans="2:5" x14ac:dyDescent="0.25">
      <c r="B234" s="181" t="s">
        <v>583</v>
      </c>
      <c r="C234" s="184">
        <v>44567</v>
      </c>
      <c r="D234" s="181">
        <v>1216.95</v>
      </c>
      <c r="E234" s="212">
        <v>1</v>
      </c>
    </row>
    <row r="235" spans="2:5" x14ac:dyDescent="0.25">
      <c r="B235" s="181" t="s">
        <v>584</v>
      </c>
      <c r="C235" s="184">
        <v>44580</v>
      </c>
      <c r="D235" s="181">
        <v>48990.99</v>
      </c>
      <c r="E235" s="212">
        <v>1</v>
      </c>
    </row>
    <row r="236" spans="2:5" x14ac:dyDescent="0.25">
      <c r="B236" s="181" t="s">
        <v>585</v>
      </c>
      <c r="C236" s="184">
        <v>44607</v>
      </c>
      <c r="D236" s="181">
        <v>15914.35</v>
      </c>
      <c r="E236" s="212">
        <v>1</v>
      </c>
    </row>
    <row r="237" spans="2:5" x14ac:dyDescent="0.25">
      <c r="B237" s="181" t="s">
        <v>591</v>
      </c>
      <c r="C237" s="184">
        <v>44503</v>
      </c>
      <c r="D237" s="181">
        <v>12285.34</v>
      </c>
      <c r="E237" s="212">
        <v>1</v>
      </c>
    </row>
    <row r="238" spans="2:5" x14ac:dyDescent="0.25">
      <c r="B238" s="181" t="s">
        <v>596</v>
      </c>
      <c r="C238" s="184">
        <v>44568</v>
      </c>
      <c r="D238" s="181">
        <v>21798.81</v>
      </c>
      <c r="E238" s="212">
        <v>1</v>
      </c>
    </row>
    <row r="239" spans="2:5" x14ac:dyDescent="0.25">
      <c r="B239" s="181" t="s">
        <v>598</v>
      </c>
      <c r="C239" s="184">
        <v>44685</v>
      </c>
      <c r="D239" s="181">
        <v>19279.689999999999</v>
      </c>
      <c r="E239" s="212">
        <v>1</v>
      </c>
    </row>
    <row r="240" spans="2:5" x14ac:dyDescent="0.25">
      <c r="B240" s="181" t="s">
        <v>601</v>
      </c>
      <c r="C240" s="184">
        <v>44481</v>
      </c>
      <c r="D240" s="181">
        <v>12417.31</v>
      </c>
      <c r="E240" s="212">
        <v>1</v>
      </c>
    </row>
    <row r="241" spans="2:5" x14ac:dyDescent="0.25">
      <c r="B241" s="181" t="s">
        <v>603</v>
      </c>
      <c r="C241" s="184">
        <v>44538</v>
      </c>
      <c r="D241" s="181">
        <v>96090.32</v>
      </c>
      <c r="E241" s="212">
        <v>1</v>
      </c>
    </row>
    <row r="242" spans="2:5" x14ac:dyDescent="0.25">
      <c r="B242" s="181" t="s">
        <v>615</v>
      </c>
      <c r="C242" s="184">
        <v>44693</v>
      </c>
      <c r="D242" s="181">
        <v>22947.87</v>
      </c>
      <c r="E242" s="212">
        <v>1</v>
      </c>
    </row>
    <row r="243" spans="2:5" x14ac:dyDescent="0.25">
      <c r="B243" s="181" t="s">
        <v>616</v>
      </c>
      <c r="C243" s="184">
        <v>44670</v>
      </c>
      <c r="D243" s="181">
        <v>11047.65</v>
      </c>
      <c r="E243" s="212">
        <v>1</v>
      </c>
    </row>
    <row r="244" spans="2:5" x14ac:dyDescent="0.25">
      <c r="B244" s="181" t="s">
        <v>617</v>
      </c>
      <c r="C244" s="184">
        <v>44622</v>
      </c>
      <c r="D244" s="181">
        <v>14295.79</v>
      </c>
      <c r="E244" s="212">
        <v>1</v>
      </c>
    </row>
    <row r="245" spans="2:5" x14ac:dyDescent="0.25">
      <c r="B245" s="181" t="s">
        <v>619</v>
      </c>
      <c r="C245" s="184">
        <v>44664</v>
      </c>
      <c r="D245" s="181">
        <v>75370.039999999994</v>
      </c>
      <c r="E245" s="212">
        <v>1</v>
      </c>
    </row>
    <row r="246" spans="2:5" x14ac:dyDescent="0.25">
      <c r="B246" s="181" t="s">
        <v>372</v>
      </c>
      <c r="C246" s="184">
        <v>44076</v>
      </c>
      <c r="D246" s="181">
        <v>70402.447598739993</v>
      </c>
      <c r="E246" s="212">
        <v>1</v>
      </c>
    </row>
    <row r="247" spans="2:5" x14ac:dyDescent="0.25">
      <c r="B247" s="181" t="s">
        <v>373</v>
      </c>
      <c r="C247" s="184">
        <v>37469</v>
      </c>
      <c r="D247" s="181">
        <v>394.88</v>
      </c>
      <c r="E247" s="212">
        <v>1</v>
      </c>
    </row>
    <row r="248" spans="2:5" x14ac:dyDescent="0.25">
      <c r="B248" s="181" t="s">
        <v>378</v>
      </c>
      <c r="C248" s="184">
        <v>38624</v>
      </c>
      <c r="D248" s="181">
        <v>173.45</v>
      </c>
      <c r="E248" s="212">
        <v>1</v>
      </c>
    </row>
    <row r="249" spans="2:5" x14ac:dyDescent="0.25">
      <c r="B249" s="181" t="s">
        <v>383</v>
      </c>
      <c r="C249" s="184">
        <v>38715</v>
      </c>
      <c r="D249" s="181">
        <v>510.55</v>
      </c>
      <c r="E249" s="212">
        <v>1</v>
      </c>
    </row>
    <row r="250" spans="2:5" x14ac:dyDescent="0.25">
      <c r="B250" s="181" t="s">
        <v>384</v>
      </c>
      <c r="C250" s="184">
        <v>38260</v>
      </c>
      <c r="D250" s="181">
        <v>730.16</v>
      </c>
      <c r="E250" s="212">
        <v>1</v>
      </c>
    </row>
    <row r="251" spans="2:5" x14ac:dyDescent="0.25">
      <c r="B251" s="181" t="s">
        <v>387</v>
      </c>
      <c r="C251" s="184">
        <v>38713</v>
      </c>
      <c r="D251" s="181">
        <v>185.77</v>
      </c>
      <c r="E251" s="212">
        <v>1</v>
      </c>
    </row>
    <row r="252" spans="2:5" x14ac:dyDescent="0.25">
      <c r="B252" s="181" t="s">
        <v>404</v>
      </c>
      <c r="C252" s="184">
        <v>39618</v>
      </c>
      <c r="D252" s="181">
        <v>562.29</v>
      </c>
      <c r="E252" s="212">
        <v>1</v>
      </c>
    </row>
    <row r="253" spans="2:5" x14ac:dyDescent="0.25">
      <c r="B253" s="181" t="s">
        <v>412</v>
      </c>
      <c r="C253" s="184">
        <v>42117</v>
      </c>
      <c r="D253" s="181">
        <v>650.14363865999997</v>
      </c>
      <c r="E253" s="212">
        <v>1</v>
      </c>
    </row>
    <row r="254" spans="2:5" x14ac:dyDescent="0.25">
      <c r="B254" s="181" t="s">
        <v>414</v>
      </c>
      <c r="C254" s="184">
        <v>42110</v>
      </c>
      <c r="D254" s="181">
        <v>419.85620591000003</v>
      </c>
      <c r="E254" s="212">
        <v>1</v>
      </c>
    </row>
    <row r="255" spans="2:5" x14ac:dyDescent="0.25">
      <c r="B255" s="181" t="s">
        <v>415</v>
      </c>
      <c r="C255" s="184">
        <v>41444</v>
      </c>
      <c r="D255" s="181">
        <v>1386.8</v>
      </c>
      <c r="E255" s="212">
        <v>1</v>
      </c>
    </row>
    <row r="256" spans="2:5" x14ac:dyDescent="0.25">
      <c r="B256" s="181" t="s">
        <v>419</v>
      </c>
      <c r="C256" s="184">
        <v>38866</v>
      </c>
      <c r="D256" s="181">
        <v>203.88</v>
      </c>
      <c r="E256" s="212">
        <v>1</v>
      </c>
    </row>
    <row r="257" spans="2:5" x14ac:dyDescent="0.25">
      <c r="B257" s="181" t="s">
        <v>209</v>
      </c>
      <c r="C257" s="184">
        <v>38713</v>
      </c>
      <c r="D257" s="181">
        <v>17257.37</v>
      </c>
      <c r="E257" s="212">
        <v>1</v>
      </c>
    </row>
    <row r="258" spans="2:5" x14ac:dyDescent="0.25">
      <c r="B258" s="181" t="s">
        <v>215</v>
      </c>
      <c r="C258" s="184">
        <v>38715</v>
      </c>
      <c r="D258" s="181">
        <v>34075.21</v>
      </c>
      <c r="E258" s="212">
        <v>1</v>
      </c>
    </row>
    <row r="259" spans="2:5" x14ac:dyDescent="0.25">
      <c r="B259" s="181" t="s">
        <v>221</v>
      </c>
      <c r="C259" s="184">
        <v>38663</v>
      </c>
      <c r="D259" s="181">
        <v>14154.09</v>
      </c>
      <c r="E259" s="212">
        <v>1</v>
      </c>
    </row>
    <row r="260" spans="2:5" x14ac:dyDescent="0.25">
      <c r="B260" s="181" t="s">
        <v>228</v>
      </c>
      <c r="C260" s="184">
        <v>38716</v>
      </c>
      <c r="D260" s="181">
        <v>2895.12</v>
      </c>
      <c r="E260" s="212">
        <v>1</v>
      </c>
    </row>
    <row r="261" spans="2:5" x14ac:dyDescent="0.25">
      <c r="B261" s="181" t="s">
        <v>232</v>
      </c>
      <c r="C261" s="184">
        <v>38673</v>
      </c>
      <c r="D261" s="181">
        <v>110.01</v>
      </c>
      <c r="E261" s="212">
        <v>1</v>
      </c>
    </row>
    <row r="262" spans="2:5" x14ac:dyDescent="0.25">
      <c r="B262" s="181" t="s">
        <v>243</v>
      </c>
      <c r="C262" s="184">
        <v>38709</v>
      </c>
      <c r="D262" s="181">
        <v>9758.19</v>
      </c>
      <c r="E262" s="212">
        <v>1</v>
      </c>
    </row>
    <row r="263" spans="2:5" x14ac:dyDescent="0.25">
      <c r="B263" s="181" t="s">
        <v>244</v>
      </c>
      <c r="C263" s="184">
        <v>38580</v>
      </c>
      <c r="D263" s="181">
        <v>673.25</v>
      </c>
      <c r="E263" s="212">
        <v>1</v>
      </c>
    </row>
    <row r="264" spans="2:5" x14ac:dyDescent="0.25">
      <c r="B264" s="181" t="s">
        <v>246</v>
      </c>
      <c r="C264" s="184">
        <v>42122</v>
      </c>
      <c r="D264" s="181">
        <v>9390.5427286199993</v>
      </c>
      <c r="E264" s="212">
        <v>1</v>
      </c>
    </row>
    <row r="265" spans="2:5" x14ac:dyDescent="0.25">
      <c r="B265" s="181" t="s">
        <v>247</v>
      </c>
      <c r="C265" s="184">
        <v>44623</v>
      </c>
      <c r="D265" s="181">
        <v>20234.020223359999</v>
      </c>
      <c r="E265" s="212">
        <v>1</v>
      </c>
    </row>
    <row r="266" spans="2:5" x14ac:dyDescent="0.25">
      <c r="B266" s="181" t="s">
        <v>88</v>
      </c>
      <c r="C266" s="184">
        <v>44622</v>
      </c>
      <c r="D266" s="181">
        <v>5682.5741831900004</v>
      </c>
      <c r="E266" s="212">
        <v>1</v>
      </c>
    </row>
    <row r="267" spans="2:5" x14ac:dyDescent="0.25">
      <c r="B267" s="181" t="s">
        <v>252</v>
      </c>
      <c r="C267" s="184">
        <v>39629</v>
      </c>
      <c r="D267" s="181">
        <v>51541.23</v>
      </c>
      <c r="E267" s="212">
        <v>1</v>
      </c>
    </row>
    <row r="268" spans="2:5" x14ac:dyDescent="0.25">
      <c r="B268" s="181" t="s">
        <v>100</v>
      </c>
      <c r="C268" s="184">
        <v>44252</v>
      </c>
      <c r="D268" s="181">
        <v>17898.365507359998</v>
      </c>
      <c r="E268" s="212">
        <v>1</v>
      </c>
    </row>
    <row r="269" spans="2:5" x14ac:dyDescent="0.25">
      <c r="B269" s="181" t="s">
        <v>55</v>
      </c>
      <c r="C269" s="184">
        <v>44622</v>
      </c>
      <c r="D269" s="181">
        <v>71057.557068209993</v>
      </c>
      <c r="E269" s="212">
        <v>1</v>
      </c>
    </row>
    <row r="270" spans="2:5" x14ac:dyDescent="0.25">
      <c r="B270" s="181" t="s">
        <v>628</v>
      </c>
      <c r="C270" s="184">
        <v>42143</v>
      </c>
      <c r="D270" s="181">
        <v>1310.1099999999999</v>
      </c>
      <c r="E270" s="212">
        <v>1</v>
      </c>
    </row>
    <row r="271" spans="2:5" x14ac:dyDescent="0.25">
      <c r="B271" s="181" t="s">
        <v>629</v>
      </c>
      <c r="C271" s="184">
        <v>42312</v>
      </c>
      <c r="D271" s="181">
        <v>1209.71</v>
      </c>
      <c r="E271" s="212">
        <v>1</v>
      </c>
    </row>
    <row r="272" spans="2:5" x14ac:dyDescent="0.25">
      <c r="B272" s="181" t="s">
        <v>630</v>
      </c>
      <c r="C272" s="184">
        <v>42594</v>
      </c>
      <c r="D272" s="181">
        <v>1327.18</v>
      </c>
      <c r="E272" s="212">
        <v>1</v>
      </c>
    </row>
    <row r="273" spans="2:5" x14ac:dyDescent="0.25">
      <c r="B273" s="181" t="s">
        <v>103</v>
      </c>
      <c r="C273" s="184">
        <v>38723</v>
      </c>
      <c r="D273" s="181">
        <v>641.64</v>
      </c>
      <c r="E273" s="212">
        <v>1</v>
      </c>
    </row>
    <row r="274" spans="2:5" x14ac:dyDescent="0.25">
      <c r="B274" s="10" t="s">
        <v>262</v>
      </c>
      <c r="C274" s="125">
        <v>43348</v>
      </c>
      <c r="D274" s="10">
        <v>302.76282674999999</v>
      </c>
      <c r="E274" s="10">
        <v>1</v>
      </c>
    </row>
    <row r="275" spans="2:5" x14ac:dyDescent="0.25">
      <c r="B275" s="10" t="s">
        <v>266</v>
      </c>
      <c r="C275" s="125">
        <v>40926</v>
      </c>
      <c r="D275" s="10">
        <v>1131.78</v>
      </c>
      <c r="E275" s="10">
        <v>1</v>
      </c>
    </row>
    <row r="276" spans="2:5" x14ac:dyDescent="0.25">
      <c r="B276" s="10" t="s">
        <v>90</v>
      </c>
      <c r="C276" s="125">
        <v>43098</v>
      </c>
      <c r="D276" s="10">
        <v>694.66658584000004</v>
      </c>
      <c r="E276" s="10">
        <v>1</v>
      </c>
    </row>
    <row r="277" spans="2:5" x14ac:dyDescent="0.25">
      <c r="B277" s="10" t="s">
        <v>270</v>
      </c>
      <c r="C277" s="125">
        <v>44622</v>
      </c>
      <c r="D277" s="10">
        <v>361.91880978</v>
      </c>
      <c r="E277" s="10">
        <v>1</v>
      </c>
    </row>
    <row r="278" spans="2:5" x14ac:dyDescent="0.25">
      <c r="B278" s="10" t="s">
        <v>271</v>
      </c>
      <c r="C278" s="125">
        <v>43125</v>
      </c>
      <c r="D278" s="10">
        <v>11610.59631465</v>
      </c>
      <c r="E278" s="10">
        <v>1</v>
      </c>
    </row>
    <row r="279" spans="2:5" x14ac:dyDescent="0.25">
      <c r="B279" s="10" t="s">
        <v>276</v>
      </c>
      <c r="C279" s="125">
        <v>43131</v>
      </c>
      <c r="D279" s="10">
        <v>227.82227137999999</v>
      </c>
      <c r="E279" s="10">
        <v>1</v>
      </c>
    </row>
    <row r="280" spans="2:5" x14ac:dyDescent="0.25">
      <c r="B280" s="10" t="s">
        <v>277</v>
      </c>
      <c r="C280" s="125">
        <v>42193</v>
      </c>
      <c r="D280" s="10">
        <v>3470.8482101700001</v>
      </c>
      <c r="E280" s="10">
        <v>1</v>
      </c>
    </row>
    <row r="281" spans="2:5" x14ac:dyDescent="0.25">
      <c r="B281" s="10" t="s">
        <v>279</v>
      </c>
      <c r="C281" s="125">
        <v>44685</v>
      </c>
      <c r="D281" s="10">
        <v>20504.916099999999</v>
      </c>
      <c r="E281" s="10">
        <v>1</v>
      </c>
    </row>
    <row r="282" spans="2:5" x14ac:dyDescent="0.25">
      <c r="B282" s="10" t="s">
        <v>57</v>
      </c>
      <c r="C282" s="125">
        <v>44622</v>
      </c>
      <c r="D282" s="10">
        <v>36691.052027309997</v>
      </c>
      <c r="E282" s="10">
        <v>1</v>
      </c>
    </row>
    <row r="283" spans="2:5" x14ac:dyDescent="0.25">
      <c r="B283" s="10" t="s">
        <v>285</v>
      </c>
      <c r="C283" s="125">
        <v>42460</v>
      </c>
      <c r="D283" s="10">
        <v>664.66121383999996</v>
      </c>
      <c r="E283" s="10">
        <v>1</v>
      </c>
    </row>
    <row r="284" spans="2:5" x14ac:dyDescent="0.25">
      <c r="B284" s="10" t="s">
        <v>59</v>
      </c>
      <c r="C284" s="125">
        <v>44622</v>
      </c>
      <c r="D284" s="10">
        <v>13597.228265719999</v>
      </c>
      <c r="E284" s="10">
        <v>1</v>
      </c>
    </row>
    <row r="285" spans="2:5" x14ac:dyDescent="0.25">
      <c r="B285" s="10" t="s">
        <v>290</v>
      </c>
      <c r="C285" s="125">
        <v>39381</v>
      </c>
      <c r="D285" s="10">
        <v>30836.11</v>
      </c>
      <c r="E285" s="10">
        <v>1</v>
      </c>
    </row>
    <row r="286" spans="2:5" x14ac:dyDescent="0.25">
      <c r="B286" s="10" t="s">
        <v>170</v>
      </c>
      <c r="C286" s="125">
        <v>42303</v>
      </c>
      <c r="D286" s="10">
        <v>1035.8389392900001</v>
      </c>
      <c r="E286" s="10">
        <v>1</v>
      </c>
    </row>
    <row r="287" spans="2:5" x14ac:dyDescent="0.25">
      <c r="B287" s="10" t="s">
        <v>307</v>
      </c>
      <c r="C287" s="125">
        <v>42222</v>
      </c>
      <c r="D287" s="10">
        <v>1524.0086971600001</v>
      </c>
      <c r="E287" s="10">
        <v>1</v>
      </c>
    </row>
    <row r="288" spans="2:5" x14ac:dyDescent="0.25">
      <c r="B288" s="10" t="s">
        <v>308</v>
      </c>
      <c r="C288" s="125">
        <v>41492</v>
      </c>
      <c r="D288" s="10">
        <v>4293.55</v>
      </c>
      <c r="E288" s="10">
        <v>1</v>
      </c>
    </row>
    <row r="289" spans="2:5" x14ac:dyDescent="0.25">
      <c r="B289" s="10" t="s">
        <v>309</v>
      </c>
      <c r="C289" s="125">
        <v>43172</v>
      </c>
      <c r="D289" s="10">
        <v>82.544370499999999</v>
      </c>
      <c r="E289" s="10">
        <v>1</v>
      </c>
    </row>
    <row r="290" spans="2:5" x14ac:dyDescent="0.25">
      <c r="B290" s="10" t="s">
        <v>312</v>
      </c>
      <c r="C290" s="125">
        <v>44526</v>
      </c>
      <c r="D290" s="10">
        <v>101.04015010000001</v>
      </c>
      <c r="E290" s="10">
        <v>1</v>
      </c>
    </row>
    <row r="291" spans="2:5" x14ac:dyDescent="0.25">
      <c r="B291" s="10" t="s">
        <v>545</v>
      </c>
      <c r="C291" s="125">
        <v>44567</v>
      </c>
      <c r="D291" s="10">
        <v>1217.0030418700001</v>
      </c>
      <c r="E291" s="10">
        <v>1</v>
      </c>
    </row>
    <row r="292" spans="2:5" x14ac:dyDescent="0.25">
      <c r="B292" s="10" t="s">
        <v>515</v>
      </c>
      <c r="C292" s="125">
        <v>44603</v>
      </c>
      <c r="D292" s="10">
        <v>40363.684077309998</v>
      </c>
      <c r="E292" s="10">
        <v>1</v>
      </c>
    </row>
    <row r="293" spans="2:5" x14ac:dyDescent="0.25">
      <c r="B293" s="10" t="s">
        <v>552</v>
      </c>
      <c r="C293" s="125">
        <v>44649</v>
      </c>
      <c r="D293" s="10">
        <v>11039.616041069999</v>
      </c>
      <c r="E293" s="10">
        <v>1</v>
      </c>
    </row>
    <row r="294" spans="2:5" x14ac:dyDescent="0.25">
      <c r="B294" s="10" t="s">
        <v>553</v>
      </c>
      <c r="C294" s="125">
        <v>44679</v>
      </c>
      <c r="D294" s="10">
        <v>4797.7528934700003</v>
      </c>
      <c r="E294" s="10">
        <v>1</v>
      </c>
    </row>
    <row r="295" spans="2:5" x14ac:dyDescent="0.25">
      <c r="B295" s="10" t="s">
        <v>556</v>
      </c>
      <c r="C295" s="125">
        <v>44650</v>
      </c>
      <c r="D295" s="10">
        <v>39134.637828899999</v>
      </c>
      <c r="E295" s="10">
        <v>1</v>
      </c>
    </row>
    <row r="296" spans="2:5" x14ac:dyDescent="0.25">
      <c r="B296" s="10" t="s">
        <v>334</v>
      </c>
      <c r="C296" s="125">
        <v>43125</v>
      </c>
      <c r="D296" s="10">
        <v>16687.3</v>
      </c>
      <c r="E296" s="10">
        <v>1</v>
      </c>
    </row>
    <row r="297" spans="2:5" x14ac:dyDescent="0.25">
      <c r="B297" s="10" t="s">
        <v>335</v>
      </c>
      <c r="C297" s="125">
        <v>42460</v>
      </c>
      <c r="D297" s="10">
        <v>25683.33</v>
      </c>
      <c r="E297" s="10">
        <v>1</v>
      </c>
    </row>
    <row r="298" spans="2:5" x14ac:dyDescent="0.25">
      <c r="B298" s="10" t="s">
        <v>338</v>
      </c>
      <c r="C298" s="125">
        <v>42117</v>
      </c>
      <c r="D298" s="10">
        <v>27409.74</v>
      </c>
      <c r="E298" s="10">
        <v>1</v>
      </c>
    </row>
    <row r="299" spans="2:5" x14ac:dyDescent="0.25">
      <c r="B299" s="10" t="s">
        <v>631</v>
      </c>
      <c r="C299" s="125">
        <v>44244</v>
      </c>
      <c r="D299" s="10">
        <v>55695.23</v>
      </c>
      <c r="E299" s="10">
        <v>1</v>
      </c>
    </row>
    <row r="300" spans="2:5" x14ac:dyDescent="0.25">
      <c r="B300" s="10" t="s">
        <v>341</v>
      </c>
      <c r="C300" s="125">
        <v>43166</v>
      </c>
      <c r="D300" s="10">
        <v>15441.01</v>
      </c>
      <c r="E300" s="10">
        <v>1</v>
      </c>
    </row>
    <row r="301" spans="2:5" x14ac:dyDescent="0.25">
      <c r="B301" s="10" t="s">
        <v>573</v>
      </c>
      <c r="C301" s="125">
        <v>44693</v>
      </c>
      <c r="D301" s="10">
        <v>105607.12313111</v>
      </c>
      <c r="E301" s="10">
        <v>1</v>
      </c>
    </row>
    <row r="302" spans="2:5" x14ac:dyDescent="0.25">
      <c r="B302" s="10" t="s">
        <v>574</v>
      </c>
      <c r="C302" s="125">
        <v>44670</v>
      </c>
      <c r="D302" s="10">
        <v>39042.487518540001</v>
      </c>
      <c r="E302" s="10">
        <v>1</v>
      </c>
    </row>
    <row r="303" spans="2:5" x14ac:dyDescent="0.25">
      <c r="B303" s="10" t="s">
        <v>350</v>
      </c>
      <c r="C303" s="125">
        <v>42303</v>
      </c>
      <c r="D303" s="10">
        <v>7915.02</v>
      </c>
      <c r="E303" s="10">
        <v>1</v>
      </c>
    </row>
    <row r="304" spans="2:5" x14ac:dyDescent="0.25">
      <c r="B304" s="10" t="s">
        <v>354</v>
      </c>
      <c r="C304" s="125">
        <v>41947</v>
      </c>
      <c r="D304" s="10">
        <v>7127.6</v>
      </c>
      <c r="E304" s="10">
        <v>1</v>
      </c>
    </row>
    <row r="305" spans="2:5" x14ac:dyDescent="0.25">
      <c r="B305" s="10" t="s">
        <v>355</v>
      </c>
      <c r="C305" s="125">
        <v>44221</v>
      </c>
      <c r="D305" s="10">
        <v>59872.37</v>
      </c>
      <c r="E305" s="10">
        <v>1</v>
      </c>
    </row>
    <row r="306" spans="2:5" x14ac:dyDescent="0.25">
      <c r="B306" s="10" t="s">
        <v>357</v>
      </c>
      <c r="C306" s="125">
        <v>43126</v>
      </c>
      <c r="D306" s="10">
        <v>12900.1</v>
      </c>
      <c r="E306" s="10">
        <v>1</v>
      </c>
    </row>
    <row r="307" spans="2:5" x14ac:dyDescent="0.25">
      <c r="B307" s="10" t="s">
        <v>358</v>
      </c>
      <c r="C307" s="125">
        <v>42520</v>
      </c>
      <c r="D307" s="10">
        <v>26408.99</v>
      </c>
      <c r="E307" s="10">
        <v>1</v>
      </c>
    </row>
    <row r="308" spans="2:5" x14ac:dyDescent="0.25">
      <c r="B308" s="10" t="s">
        <v>362</v>
      </c>
      <c r="C308" s="125">
        <v>43125</v>
      </c>
      <c r="D308" s="10">
        <v>11736.27</v>
      </c>
      <c r="E308" s="10">
        <v>1</v>
      </c>
    </row>
    <row r="309" spans="2:5" x14ac:dyDescent="0.25">
      <c r="B309" s="10" t="s">
        <v>369</v>
      </c>
      <c r="C309" s="125">
        <v>43060</v>
      </c>
      <c r="D309" s="10">
        <v>21366.95</v>
      </c>
      <c r="E309" s="10">
        <v>1</v>
      </c>
    </row>
    <row r="310" spans="2:5" x14ac:dyDescent="0.25">
      <c r="B310" s="10" t="s">
        <v>579</v>
      </c>
      <c r="C310" s="125">
        <v>44287</v>
      </c>
      <c r="D310" s="10">
        <v>18092.11</v>
      </c>
      <c r="E310" s="10">
        <v>1</v>
      </c>
    </row>
    <row r="311" spans="2:5" x14ac:dyDescent="0.25">
      <c r="B311" s="10" t="s">
        <v>580</v>
      </c>
      <c r="C311" s="125">
        <v>44622</v>
      </c>
      <c r="D311" s="10">
        <v>10221.16</v>
      </c>
      <c r="E311" s="10">
        <v>1</v>
      </c>
    </row>
    <row r="312" spans="2:5" x14ac:dyDescent="0.25">
      <c r="B312" s="10" t="s">
        <v>587</v>
      </c>
      <c r="C312" s="125">
        <v>44622</v>
      </c>
      <c r="D312" s="10">
        <v>12366.71</v>
      </c>
      <c r="E312" s="10">
        <v>1</v>
      </c>
    </row>
    <row r="313" spans="2:5" x14ac:dyDescent="0.25">
      <c r="B313" s="10" t="s">
        <v>594</v>
      </c>
      <c r="C313" s="125">
        <v>44679</v>
      </c>
      <c r="D313" s="10">
        <v>10707.82</v>
      </c>
      <c r="E313" s="10">
        <v>1</v>
      </c>
    </row>
    <row r="314" spans="2:5" x14ac:dyDescent="0.25">
      <c r="B314" s="10" t="s">
        <v>602</v>
      </c>
      <c r="C314" s="125">
        <v>44504</v>
      </c>
      <c r="D314" s="10">
        <v>13987.83</v>
      </c>
      <c r="E314" s="10">
        <v>1</v>
      </c>
    </row>
    <row r="315" spans="2:5" x14ac:dyDescent="0.25">
      <c r="B315" s="10" t="s">
        <v>604</v>
      </c>
      <c r="C315" s="125">
        <v>44426</v>
      </c>
      <c r="D315" s="10">
        <v>12097.07</v>
      </c>
      <c r="E315" s="10">
        <v>1</v>
      </c>
    </row>
    <row r="316" spans="2:5" x14ac:dyDescent="0.25">
      <c r="B316" s="10" t="s">
        <v>614</v>
      </c>
      <c r="C316" s="125">
        <v>44601</v>
      </c>
      <c r="D316" s="10">
        <v>6973.75</v>
      </c>
      <c r="E316" s="10">
        <v>1</v>
      </c>
    </row>
    <row r="317" spans="2:5" x14ac:dyDescent="0.25">
      <c r="B317" s="10" t="s">
        <v>382</v>
      </c>
      <c r="C317" s="125">
        <v>38715</v>
      </c>
      <c r="D317" s="10">
        <v>508.88</v>
      </c>
      <c r="E317" s="10">
        <v>1</v>
      </c>
    </row>
    <row r="318" spans="2:5" x14ac:dyDescent="0.25">
      <c r="B318" s="10" t="s">
        <v>385</v>
      </c>
      <c r="C318" s="125">
        <v>38716</v>
      </c>
      <c r="D318" s="10">
        <v>250.34</v>
      </c>
      <c r="E318" s="10">
        <v>1</v>
      </c>
    </row>
    <row r="319" spans="2:5" x14ac:dyDescent="0.25">
      <c r="B319" s="10" t="s">
        <v>386</v>
      </c>
      <c r="C319" s="125">
        <v>38716</v>
      </c>
      <c r="D319" s="10">
        <v>250.34</v>
      </c>
      <c r="E319" s="10">
        <v>1</v>
      </c>
    </row>
    <row r="320" spans="2:5" x14ac:dyDescent="0.25">
      <c r="B320" s="10" t="s">
        <v>388</v>
      </c>
      <c r="C320" s="125">
        <v>38713</v>
      </c>
      <c r="D320" s="10">
        <v>232.72</v>
      </c>
      <c r="E320" s="10">
        <v>1</v>
      </c>
    </row>
    <row r="321" spans="2:5" x14ac:dyDescent="0.25">
      <c r="B321" s="10" t="s">
        <v>396</v>
      </c>
      <c r="C321" s="125">
        <v>39329</v>
      </c>
      <c r="D321" s="10">
        <v>321.83999999999997</v>
      </c>
      <c r="E321" s="10">
        <v>1</v>
      </c>
    </row>
    <row r="322" spans="2:5" x14ac:dyDescent="0.25">
      <c r="B322" s="10" t="s">
        <v>399</v>
      </c>
      <c r="C322" s="125">
        <v>39394</v>
      </c>
      <c r="D322" s="10">
        <v>363.69</v>
      </c>
      <c r="E322" s="10">
        <v>1</v>
      </c>
    </row>
    <row r="323" spans="2:5" x14ac:dyDescent="0.25">
      <c r="B323" s="10" t="s">
        <v>402</v>
      </c>
      <c r="C323" s="125">
        <v>42227</v>
      </c>
      <c r="D323" s="10">
        <v>4757.8587041199999</v>
      </c>
      <c r="E323" s="10">
        <v>1</v>
      </c>
    </row>
    <row r="324" spans="2:5" x14ac:dyDescent="0.25">
      <c r="B324" s="10" t="s">
        <v>408</v>
      </c>
      <c r="C324" s="125">
        <v>41283</v>
      </c>
      <c r="D324" s="10">
        <v>2316.58</v>
      </c>
      <c r="E324" s="10">
        <v>1</v>
      </c>
    </row>
    <row r="325" spans="2:5" x14ac:dyDescent="0.25">
      <c r="B325" s="10" t="s">
        <v>410</v>
      </c>
      <c r="C325" s="125">
        <v>41281</v>
      </c>
      <c r="D325" s="10">
        <v>3365.22</v>
      </c>
      <c r="E325" s="10">
        <v>1</v>
      </c>
    </row>
    <row r="326" spans="2:5" x14ac:dyDescent="0.25">
      <c r="B326" s="10" t="s">
        <v>224</v>
      </c>
      <c r="C326" s="125">
        <v>38716</v>
      </c>
      <c r="D326" s="10">
        <v>18207.32</v>
      </c>
      <c r="E326" s="10">
        <v>1</v>
      </c>
    </row>
    <row r="327" spans="2:5" x14ac:dyDescent="0.25">
      <c r="B327" s="10" t="s">
        <v>233</v>
      </c>
      <c r="C327" s="125">
        <v>38709</v>
      </c>
      <c r="D327" s="10">
        <v>34691.21</v>
      </c>
      <c r="E327" s="10">
        <v>1</v>
      </c>
    </row>
    <row r="328" spans="2:5" x14ac:dyDescent="0.25">
      <c r="B328" s="10" t="s">
        <v>242</v>
      </c>
      <c r="C328" s="125">
        <v>38713</v>
      </c>
      <c r="D328" s="10">
        <v>1846.94</v>
      </c>
      <c r="E328" s="10">
        <v>1</v>
      </c>
    </row>
    <row r="329" spans="2:5" x14ac:dyDescent="0.25">
      <c r="B329" s="10" t="s">
        <v>86</v>
      </c>
      <c r="C329" s="125">
        <v>41849</v>
      </c>
      <c r="D329" s="10">
        <v>22461.45680964</v>
      </c>
      <c r="E329" s="10">
        <v>1</v>
      </c>
    </row>
    <row r="330" spans="2:5" x14ac:dyDescent="0.25">
      <c r="B330" s="10" t="s">
        <v>249</v>
      </c>
      <c r="C330" s="125">
        <v>43347</v>
      </c>
      <c r="D330" s="10">
        <v>28871.375256529998</v>
      </c>
      <c r="E330" s="10">
        <v>1</v>
      </c>
    </row>
    <row r="331" spans="2:5" x14ac:dyDescent="0.25">
      <c r="B331" s="10" t="s">
        <v>253</v>
      </c>
      <c r="C331" s="125">
        <v>37970</v>
      </c>
      <c r="D331" s="10">
        <v>1201.19</v>
      </c>
      <c r="E331" s="10">
        <v>1</v>
      </c>
    </row>
    <row r="332" spans="2:5" x14ac:dyDescent="0.25">
      <c r="B332" s="10" t="s">
        <v>44</v>
      </c>
      <c r="C332" s="125">
        <v>44652</v>
      </c>
      <c r="D332" s="10">
        <v>84924.77169727</v>
      </c>
      <c r="E332" s="10">
        <v>1</v>
      </c>
    </row>
    <row r="333" spans="2:5" x14ac:dyDescent="0.25">
      <c r="B333" s="10" t="s">
        <v>632</v>
      </c>
      <c r="C333" s="125">
        <v>42115</v>
      </c>
      <c r="D333" s="10">
        <v>1374.4866460000001</v>
      </c>
      <c r="E333" s="10">
        <v>1</v>
      </c>
    </row>
    <row r="334" spans="2:5" x14ac:dyDescent="0.25">
      <c r="B334" s="10" t="s">
        <v>633</v>
      </c>
      <c r="C334" s="125">
        <v>42118</v>
      </c>
      <c r="D334" s="10">
        <v>1225.1600000000001</v>
      </c>
      <c r="E334" s="10">
        <v>1</v>
      </c>
    </row>
    <row r="335" spans="2:5" x14ac:dyDescent="0.25">
      <c r="B335" s="10" t="s">
        <v>538</v>
      </c>
      <c r="C335" s="125">
        <v>44622</v>
      </c>
      <c r="D335" s="10">
        <v>75467.150687750007</v>
      </c>
      <c r="E335" s="10">
        <v>1</v>
      </c>
    </row>
    <row r="336" spans="2:5" x14ac:dyDescent="0.25">
      <c r="B336" s="10" t="s">
        <v>60</v>
      </c>
      <c r="C336" s="125">
        <v>44622</v>
      </c>
      <c r="D336" s="10">
        <v>88218.677054450003</v>
      </c>
      <c r="E336" s="10">
        <v>1</v>
      </c>
    </row>
    <row r="337" spans="2:5" x14ac:dyDescent="0.25">
      <c r="B337" s="10" t="s">
        <v>267</v>
      </c>
      <c r="C337" s="125">
        <v>42032</v>
      </c>
      <c r="D337" s="10">
        <v>695.5143372</v>
      </c>
      <c r="E337" s="10">
        <v>1</v>
      </c>
    </row>
    <row r="338" spans="2:5" x14ac:dyDescent="0.25">
      <c r="B338" s="10" t="s">
        <v>272</v>
      </c>
      <c r="C338" s="125">
        <v>43125</v>
      </c>
      <c r="D338" s="10">
        <v>10936.001684839999</v>
      </c>
      <c r="E338" s="10">
        <v>1</v>
      </c>
    </row>
    <row r="339" spans="2:5" x14ac:dyDescent="0.25">
      <c r="B339" s="10" t="s">
        <v>275</v>
      </c>
      <c r="C339" s="125">
        <v>39381</v>
      </c>
      <c r="D339" s="10">
        <v>70277.3</v>
      </c>
      <c r="E339" s="10">
        <v>1</v>
      </c>
    </row>
    <row r="340" spans="2:5" x14ac:dyDescent="0.25">
      <c r="B340" s="10" t="s">
        <v>50</v>
      </c>
      <c r="C340" s="125">
        <v>44622</v>
      </c>
      <c r="D340" s="10">
        <v>39154.874033779997</v>
      </c>
      <c r="E340" s="10">
        <v>1</v>
      </c>
    </row>
    <row r="341" spans="2:5" x14ac:dyDescent="0.25">
      <c r="B341" s="10" t="s">
        <v>96</v>
      </c>
      <c r="C341" s="125">
        <v>44622</v>
      </c>
      <c r="D341" s="10">
        <v>500.14306311000001</v>
      </c>
      <c r="E341" s="10">
        <v>1</v>
      </c>
    </row>
    <row r="342" spans="2:5" x14ac:dyDescent="0.25">
      <c r="B342" s="10" t="s">
        <v>543</v>
      </c>
      <c r="C342" s="125">
        <v>42305</v>
      </c>
      <c r="D342" s="10">
        <v>18548.60542</v>
      </c>
      <c r="E342" s="10">
        <v>1</v>
      </c>
    </row>
    <row r="343" spans="2:5" x14ac:dyDescent="0.25">
      <c r="B343" s="10" t="s">
        <v>305</v>
      </c>
      <c r="C343" s="125">
        <v>42334</v>
      </c>
      <c r="D343" s="10">
        <v>5012.4318484900004</v>
      </c>
      <c r="E343" s="10">
        <v>1</v>
      </c>
    </row>
    <row r="344" spans="2:5" x14ac:dyDescent="0.25">
      <c r="B344" s="10" t="s">
        <v>310</v>
      </c>
      <c r="C344" s="125">
        <v>44565</v>
      </c>
      <c r="D344" s="10">
        <v>162.31354795999999</v>
      </c>
      <c r="E344" s="10">
        <v>1</v>
      </c>
    </row>
    <row r="345" spans="2:5" x14ac:dyDescent="0.25">
      <c r="B345" s="10" t="s">
        <v>522</v>
      </c>
      <c r="C345" s="125">
        <v>44622</v>
      </c>
      <c r="D345" s="10">
        <v>8885.9207809799991</v>
      </c>
      <c r="E345" s="10">
        <v>1</v>
      </c>
    </row>
    <row r="346" spans="2:5" x14ac:dyDescent="0.25">
      <c r="B346" s="10" t="s">
        <v>519</v>
      </c>
      <c r="C346" s="125">
        <v>44607</v>
      </c>
      <c r="D346" s="10">
        <v>80565.261747299999</v>
      </c>
      <c r="E346" s="10">
        <v>1</v>
      </c>
    </row>
    <row r="347" spans="2:5" x14ac:dyDescent="0.25">
      <c r="B347" s="10" t="s">
        <v>313</v>
      </c>
      <c r="C347" s="125">
        <v>44622</v>
      </c>
      <c r="D347" s="10">
        <v>71057.557068209993</v>
      </c>
      <c r="E347" s="10">
        <v>1</v>
      </c>
    </row>
    <row r="348" spans="2:5" x14ac:dyDescent="0.25">
      <c r="B348" s="10" t="s">
        <v>322</v>
      </c>
      <c r="C348" s="125">
        <v>43347</v>
      </c>
      <c r="D348" s="10">
        <v>11098.43</v>
      </c>
      <c r="E348" s="10">
        <v>1</v>
      </c>
    </row>
    <row r="349" spans="2:5" x14ac:dyDescent="0.25">
      <c r="B349" s="10" t="s">
        <v>324</v>
      </c>
      <c r="C349" s="125">
        <v>44260</v>
      </c>
      <c r="D349" s="10">
        <v>9171.36</v>
      </c>
      <c r="E349" s="10">
        <v>1</v>
      </c>
    </row>
    <row r="350" spans="2:5" x14ac:dyDescent="0.25">
      <c r="B350" s="10" t="s">
        <v>549</v>
      </c>
      <c r="C350" s="125">
        <v>44622</v>
      </c>
      <c r="D350" s="10">
        <v>292.28849958000001</v>
      </c>
      <c r="E350" s="10">
        <v>1</v>
      </c>
    </row>
    <row r="351" spans="2:5" x14ac:dyDescent="0.25">
      <c r="B351" s="10" t="s">
        <v>550</v>
      </c>
      <c r="C351" s="125">
        <v>44503</v>
      </c>
      <c r="D351" s="10">
        <v>5788.3981418399999</v>
      </c>
      <c r="E351" s="10">
        <v>1</v>
      </c>
    </row>
    <row r="352" spans="2:5" x14ac:dyDescent="0.25">
      <c r="B352" s="10" t="s">
        <v>551</v>
      </c>
      <c r="C352" s="125">
        <v>44467</v>
      </c>
      <c r="D352" s="10">
        <v>26340.367150819999</v>
      </c>
      <c r="E352" s="10">
        <v>1</v>
      </c>
    </row>
    <row r="353" spans="2:5" x14ac:dyDescent="0.25">
      <c r="B353" s="10" t="s">
        <v>332</v>
      </c>
      <c r="C353" s="125">
        <v>41948</v>
      </c>
      <c r="D353" s="10">
        <v>15682.48</v>
      </c>
      <c r="E353" s="10">
        <v>1</v>
      </c>
    </row>
    <row r="354" spans="2:5" x14ac:dyDescent="0.25">
      <c r="B354" s="10" t="s">
        <v>511</v>
      </c>
      <c r="C354" s="125">
        <v>44567</v>
      </c>
      <c r="D354" s="10">
        <v>400.62909824000002</v>
      </c>
      <c r="E354" s="10">
        <v>1</v>
      </c>
    </row>
    <row r="355" spans="2:5" x14ac:dyDescent="0.25">
      <c r="B355" s="10" t="s">
        <v>560</v>
      </c>
      <c r="C355" s="125">
        <v>44504</v>
      </c>
      <c r="D355" s="10">
        <v>8181.92670404</v>
      </c>
      <c r="E355" s="10">
        <v>1</v>
      </c>
    </row>
    <row r="356" spans="2:5" x14ac:dyDescent="0.25">
      <c r="B356" s="10" t="s">
        <v>621</v>
      </c>
      <c r="C356" s="125">
        <v>44700</v>
      </c>
      <c r="D356" s="10">
        <v>1350</v>
      </c>
      <c r="E356" s="10">
        <v>1</v>
      </c>
    </row>
    <row r="357" spans="2:5" x14ac:dyDescent="0.25">
      <c r="B357" s="10" t="s">
        <v>562</v>
      </c>
      <c r="C357" s="125">
        <v>44426</v>
      </c>
      <c r="D357" s="10">
        <v>7075.9582582200001</v>
      </c>
      <c r="E357" s="10">
        <v>1</v>
      </c>
    </row>
    <row r="358" spans="2:5" x14ac:dyDescent="0.25">
      <c r="B358" s="10" t="s">
        <v>339</v>
      </c>
      <c r="C358" s="125">
        <v>42030</v>
      </c>
      <c r="D358" s="10">
        <v>36618.99</v>
      </c>
      <c r="E358" s="10">
        <v>1</v>
      </c>
    </row>
    <row r="359" spans="2:5" x14ac:dyDescent="0.25">
      <c r="B359" s="10" t="s">
        <v>568</v>
      </c>
      <c r="C359" s="125">
        <v>44581</v>
      </c>
      <c r="D359" s="10">
        <v>18.968074269999999</v>
      </c>
      <c r="E359" s="10">
        <v>1</v>
      </c>
    </row>
    <row r="360" spans="2:5" x14ac:dyDescent="0.25">
      <c r="B360" s="10" t="s">
        <v>572</v>
      </c>
      <c r="C360" s="125">
        <v>44601</v>
      </c>
      <c r="D360" s="10">
        <v>193.58721851999999</v>
      </c>
      <c r="E360" s="10">
        <v>1</v>
      </c>
    </row>
    <row r="361" spans="2:5" x14ac:dyDescent="0.25">
      <c r="B361" s="10" t="s">
        <v>340</v>
      </c>
      <c r="C361" s="125">
        <v>43220</v>
      </c>
      <c r="D361" s="10">
        <v>34255.11</v>
      </c>
      <c r="E361" s="10">
        <v>1</v>
      </c>
    </row>
    <row r="362" spans="2:5" x14ac:dyDescent="0.25">
      <c r="B362" s="10" t="s">
        <v>343</v>
      </c>
      <c r="C362" s="125">
        <v>42655</v>
      </c>
      <c r="D362" s="10">
        <v>9116.6</v>
      </c>
      <c r="E362" s="10">
        <v>1</v>
      </c>
    </row>
    <row r="363" spans="2:5" x14ac:dyDescent="0.25">
      <c r="B363" s="10" t="s">
        <v>345</v>
      </c>
      <c r="C363" s="125">
        <v>42122</v>
      </c>
      <c r="D363" s="10">
        <v>15553.66</v>
      </c>
      <c r="E363" s="10">
        <v>1</v>
      </c>
    </row>
    <row r="364" spans="2:5" x14ac:dyDescent="0.25">
      <c r="B364" s="10" t="s">
        <v>360</v>
      </c>
      <c r="C364" s="125">
        <v>43060</v>
      </c>
      <c r="D364" s="10">
        <v>47173.61</v>
      </c>
      <c r="E364" s="10">
        <v>1</v>
      </c>
    </row>
    <row r="365" spans="2:5" x14ac:dyDescent="0.25">
      <c r="B365" s="10" t="s">
        <v>365</v>
      </c>
      <c r="C365" s="125">
        <v>44246</v>
      </c>
      <c r="D365" s="10">
        <v>24260.82</v>
      </c>
      <c r="E365" s="10">
        <v>1</v>
      </c>
    </row>
    <row r="366" spans="2:5" x14ac:dyDescent="0.25">
      <c r="B366" s="10" t="s">
        <v>366</v>
      </c>
      <c r="C366" s="125">
        <v>43165</v>
      </c>
      <c r="D366" s="10">
        <v>15739.25</v>
      </c>
      <c r="E366" s="10">
        <v>1</v>
      </c>
    </row>
    <row r="367" spans="2:5" x14ac:dyDescent="0.25">
      <c r="B367" s="10" t="s">
        <v>589</v>
      </c>
      <c r="C367" s="125">
        <v>44287</v>
      </c>
      <c r="D367" s="10">
        <v>19454.349999999999</v>
      </c>
      <c r="E367" s="10">
        <v>1</v>
      </c>
    </row>
    <row r="368" spans="2:5" x14ac:dyDescent="0.25">
      <c r="B368" s="10" t="s">
        <v>590</v>
      </c>
      <c r="C368" s="125">
        <v>44622</v>
      </c>
      <c r="D368" s="10">
        <v>11294.65</v>
      </c>
      <c r="E368" s="10">
        <v>1</v>
      </c>
    </row>
    <row r="369" spans="2:5" x14ac:dyDescent="0.25">
      <c r="B369" s="10" t="s">
        <v>593</v>
      </c>
      <c r="C369" s="125">
        <v>44649</v>
      </c>
      <c r="D369" s="10">
        <v>14826.28</v>
      </c>
      <c r="E369" s="10">
        <v>1</v>
      </c>
    </row>
    <row r="370" spans="2:5" x14ac:dyDescent="0.25">
      <c r="B370" s="10" t="s">
        <v>595</v>
      </c>
      <c r="C370" s="125">
        <v>44657</v>
      </c>
      <c r="D370" s="10">
        <v>7464.32</v>
      </c>
      <c r="E370" s="10">
        <v>1</v>
      </c>
    </row>
    <row r="371" spans="2:5" x14ac:dyDescent="0.25">
      <c r="B371" s="10" t="s">
        <v>597</v>
      </c>
      <c r="C371" s="125">
        <v>44650</v>
      </c>
      <c r="D371" s="10">
        <v>12258.29</v>
      </c>
      <c r="E371" s="10">
        <v>1</v>
      </c>
    </row>
    <row r="372" spans="2:5" x14ac:dyDescent="0.25">
      <c r="B372" s="10" t="s">
        <v>605</v>
      </c>
      <c r="C372" s="125">
        <v>44509</v>
      </c>
      <c r="D372" s="10">
        <v>4164.74</v>
      </c>
      <c r="E372" s="10">
        <v>1</v>
      </c>
    </row>
    <row r="373" spans="2:5" x14ac:dyDescent="0.25">
      <c r="B373" s="10" t="s">
        <v>610</v>
      </c>
      <c r="C373" s="125">
        <v>44581</v>
      </c>
      <c r="D373" s="10">
        <v>2578.42</v>
      </c>
      <c r="E373" s="10">
        <v>1</v>
      </c>
    </row>
    <row r="374" spans="2:5" x14ac:dyDescent="0.25">
      <c r="B374" s="10" t="s">
        <v>613</v>
      </c>
      <c r="C374" s="125">
        <v>44603</v>
      </c>
      <c r="D374" s="10">
        <v>10534.97</v>
      </c>
      <c r="E374" s="10">
        <v>1</v>
      </c>
    </row>
    <row r="375" spans="2:5" x14ac:dyDescent="0.25">
      <c r="B375" s="10" t="s">
        <v>374</v>
      </c>
      <c r="C375" s="125">
        <v>37469</v>
      </c>
      <c r="D375" s="10">
        <v>394.88</v>
      </c>
      <c r="E375" s="10">
        <v>1</v>
      </c>
    </row>
    <row r="376" spans="2:5" x14ac:dyDescent="0.25">
      <c r="B376" s="10" t="s">
        <v>375</v>
      </c>
      <c r="C376" s="125">
        <v>38665</v>
      </c>
      <c r="D376" s="10">
        <v>225.62</v>
      </c>
      <c r="E376" s="10">
        <v>1</v>
      </c>
    </row>
    <row r="377" spans="2:5" x14ac:dyDescent="0.25">
      <c r="B377" s="10" t="s">
        <v>377</v>
      </c>
      <c r="C377" s="125">
        <v>38624</v>
      </c>
      <c r="D377" s="10">
        <v>173.45</v>
      </c>
      <c r="E377" s="10">
        <v>1</v>
      </c>
    </row>
    <row r="378" spans="2:5" x14ac:dyDescent="0.25">
      <c r="B378" s="10" t="s">
        <v>407</v>
      </c>
      <c r="C378" s="125">
        <v>41277</v>
      </c>
      <c r="D378" s="10">
        <v>2807.39</v>
      </c>
      <c r="E378" s="10">
        <v>1</v>
      </c>
    </row>
    <row r="379" spans="2:5" x14ac:dyDescent="0.25">
      <c r="B379" s="10" t="s">
        <v>411</v>
      </c>
      <c r="C379" s="125">
        <v>42110</v>
      </c>
      <c r="D379" s="10">
        <v>522.89537319999999</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88"/>
      <c r="G2" s="388"/>
      <c r="H2" s="388"/>
      <c r="I2" s="388"/>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173</v>
      </c>
      <c r="E1" s="82">
        <v>42111</v>
      </c>
      <c r="F1" s="104" t="s">
        <v>174</v>
      </c>
      <c r="H1" s="105"/>
    </row>
    <row r="2" spans="1:8" ht="14.4" x14ac:dyDescent="0.3">
      <c r="A2" s="100" t="s">
        <v>107</v>
      </c>
      <c r="B2" s="101"/>
      <c r="C2" s="101"/>
      <c r="D2" s="101"/>
      <c r="E2" s="101"/>
      <c r="F2" s="101"/>
    </row>
    <row r="3" spans="1:8" ht="14.4" x14ac:dyDescent="0.3">
      <c r="A3" s="89" t="s">
        <v>14</v>
      </c>
      <c r="D3" s="90"/>
      <c r="F3" s="90"/>
    </row>
    <row r="4" spans="1:8" x14ac:dyDescent="0.25">
      <c r="A4" s="43" t="s">
        <v>126</v>
      </c>
      <c r="B4" s="3">
        <v>775</v>
      </c>
      <c r="C4" s="3">
        <v>559</v>
      </c>
      <c r="D4" s="90">
        <v>38.640429338103758</v>
      </c>
      <c r="E4" s="43">
        <v>537</v>
      </c>
      <c r="F4" s="90">
        <v>44.320297951582866</v>
      </c>
    </row>
    <row r="5" spans="1:8" x14ac:dyDescent="0.25">
      <c r="A5" s="43" t="s">
        <v>164</v>
      </c>
      <c r="B5" s="3">
        <v>2424</v>
      </c>
      <c r="C5" s="3">
        <v>1494</v>
      </c>
      <c r="D5" s="90">
        <v>62.248995983935743</v>
      </c>
      <c r="E5" s="43">
        <v>2069</v>
      </c>
      <c r="F5" s="90">
        <v>17.158047365877234</v>
      </c>
    </row>
    <row r="6" spans="1:8" x14ac:dyDescent="0.25">
      <c r="A6" s="43" t="s">
        <v>123</v>
      </c>
      <c r="B6" s="3">
        <v>1979</v>
      </c>
      <c r="C6" s="3">
        <v>1679</v>
      </c>
      <c r="D6" s="90">
        <v>17.867778439547351</v>
      </c>
      <c r="E6" s="43">
        <v>1409</v>
      </c>
      <c r="F6" s="90">
        <v>40.454222853087295</v>
      </c>
    </row>
    <row r="7" spans="1:8" x14ac:dyDescent="0.25">
      <c r="A7" s="43" t="s">
        <v>124</v>
      </c>
      <c r="B7" s="3">
        <v>12246</v>
      </c>
      <c r="C7" s="3">
        <v>12026</v>
      </c>
      <c r="D7" s="90">
        <v>1.8293696989855315</v>
      </c>
      <c r="E7" s="43">
        <v>8208</v>
      </c>
      <c r="F7" s="90">
        <v>49.195906432748536</v>
      </c>
    </row>
    <row r="8" spans="1:8" x14ac:dyDescent="0.25">
      <c r="A8" s="43" t="s">
        <v>125</v>
      </c>
      <c r="B8" s="3">
        <v>4639</v>
      </c>
      <c r="C8" s="3">
        <v>4417</v>
      </c>
      <c r="D8" s="90">
        <v>5.0260357708852164</v>
      </c>
      <c r="E8" s="43">
        <v>3629</v>
      </c>
      <c r="F8" s="90">
        <v>27.831358500964456</v>
      </c>
    </row>
    <row r="9" spans="1:8" x14ac:dyDescent="0.25">
      <c r="A9" s="43" t="s">
        <v>129</v>
      </c>
      <c r="B9" s="3">
        <v>51</v>
      </c>
      <c r="C9" s="3">
        <v>67</v>
      </c>
      <c r="D9" s="90">
        <v>-23.880597014925371</v>
      </c>
      <c r="E9" s="43">
        <v>12</v>
      </c>
      <c r="F9" s="90">
        <v>325</v>
      </c>
    </row>
    <row r="10" spans="1:8" x14ac:dyDescent="0.25">
      <c r="A10" s="43" t="s">
        <v>166</v>
      </c>
      <c r="B10" s="3">
        <v>8</v>
      </c>
      <c r="C10" s="3">
        <v>24</v>
      </c>
      <c r="D10" s="90">
        <v>-66.666666666666657</v>
      </c>
      <c r="E10" s="43">
        <v>12</v>
      </c>
      <c r="F10" s="90">
        <v>-33.333333333333329</v>
      </c>
    </row>
    <row r="11" spans="1:8" x14ac:dyDescent="0.25">
      <c r="A11" s="43" t="s">
        <v>130</v>
      </c>
      <c r="B11" s="3">
        <v>46</v>
      </c>
      <c r="C11" s="3">
        <v>63</v>
      </c>
      <c r="D11" s="90">
        <v>-26.984126984126984</v>
      </c>
      <c r="E11" s="43">
        <v>52</v>
      </c>
      <c r="F11" s="90">
        <v>-11.538461538461538</v>
      </c>
    </row>
    <row r="12" spans="1:8" ht="14.4" x14ac:dyDescent="0.3">
      <c r="A12" s="91" t="s">
        <v>167</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171</v>
      </c>
    </row>
    <row r="14" spans="1:8" x14ac:dyDescent="0.25">
      <c r="A14" s="43" t="s">
        <v>126</v>
      </c>
      <c r="B14" s="43">
        <v>5</v>
      </c>
      <c r="C14" s="43">
        <v>2</v>
      </c>
      <c r="D14" s="90">
        <v>150</v>
      </c>
      <c r="E14" s="43">
        <v>11</v>
      </c>
      <c r="F14" s="90">
        <v>-54.54545454545454</v>
      </c>
    </row>
    <row r="15" spans="1:8" x14ac:dyDescent="0.25">
      <c r="A15" s="43" t="s">
        <v>164</v>
      </c>
      <c r="B15" s="43">
        <v>192</v>
      </c>
      <c r="C15" s="43">
        <v>168</v>
      </c>
      <c r="D15" s="90">
        <v>14.285714285714285</v>
      </c>
      <c r="E15" s="43">
        <v>111</v>
      </c>
      <c r="F15" s="90">
        <v>72.972972972972968</v>
      </c>
    </row>
    <row r="16" spans="1:8" x14ac:dyDescent="0.25">
      <c r="A16" s="43" t="s">
        <v>123</v>
      </c>
      <c r="B16" s="43">
        <v>73</v>
      </c>
      <c r="C16" s="43">
        <v>84</v>
      </c>
      <c r="D16" s="90">
        <v>-13.095238095238097</v>
      </c>
      <c r="E16" s="43">
        <v>67</v>
      </c>
      <c r="F16" s="90">
        <v>8.9552238805970141</v>
      </c>
    </row>
    <row r="17" spans="1:6" x14ac:dyDescent="0.25">
      <c r="A17" s="43" t="s">
        <v>124</v>
      </c>
      <c r="B17" s="43">
        <v>2152</v>
      </c>
      <c r="C17" s="43">
        <v>1981</v>
      </c>
      <c r="D17" s="90">
        <v>8.6320040383644638</v>
      </c>
      <c r="E17" s="43">
        <v>1352</v>
      </c>
      <c r="F17" s="90">
        <v>59.171597633136095</v>
      </c>
    </row>
    <row r="18" spans="1:6" x14ac:dyDescent="0.25">
      <c r="A18" s="43" t="s">
        <v>125</v>
      </c>
      <c r="B18" s="43">
        <v>483</v>
      </c>
      <c r="C18" s="43">
        <v>364</v>
      </c>
      <c r="D18" s="90">
        <v>32.692307692307693</v>
      </c>
      <c r="E18" s="43">
        <v>229</v>
      </c>
      <c r="F18" s="90">
        <v>110.91703056768559</v>
      </c>
    </row>
    <row r="19" spans="1:6" x14ac:dyDescent="0.25">
      <c r="A19" s="43" t="s">
        <v>129</v>
      </c>
      <c r="B19" s="43">
        <v>0</v>
      </c>
      <c r="C19" s="43">
        <v>0</v>
      </c>
      <c r="D19" s="90" t="s">
        <v>171</v>
      </c>
      <c r="E19" s="43">
        <v>0</v>
      </c>
      <c r="F19" s="90" t="s">
        <v>171</v>
      </c>
    </row>
    <row r="20" spans="1:6" x14ac:dyDescent="0.25">
      <c r="A20" s="43" t="s">
        <v>166</v>
      </c>
      <c r="B20" s="43">
        <v>0</v>
      </c>
      <c r="C20" s="43">
        <v>1</v>
      </c>
      <c r="D20" s="90">
        <v>-100</v>
      </c>
      <c r="E20" s="43">
        <v>0</v>
      </c>
      <c r="F20" s="90" t="s">
        <v>171</v>
      </c>
    </row>
    <row r="21" spans="1:6" x14ac:dyDescent="0.25">
      <c r="A21" s="43" t="s">
        <v>130</v>
      </c>
      <c r="B21" s="43">
        <v>0</v>
      </c>
      <c r="C21" s="43">
        <v>0</v>
      </c>
      <c r="D21" s="90" t="s">
        <v>171</v>
      </c>
      <c r="E21" s="43">
        <v>1</v>
      </c>
      <c r="F21" s="90">
        <v>-100</v>
      </c>
    </row>
    <row r="22" spans="1:6" ht="14.4" x14ac:dyDescent="0.3">
      <c r="A22" s="91" t="s">
        <v>168</v>
      </c>
      <c r="B22" s="92">
        <f t="shared" ref="B22:C22" si="1">SUM(B14:B21)</f>
        <v>2905</v>
      </c>
      <c r="C22" s="92">
        <f t="shared" si="1"/>
        <v>2600</v>
      </c>
      <c r="D22" s="106">
        <f>((B22/C22)-1)*100</f>
        <v>11.730769230769234</v>
      </c>
      <c r="E22" s="92">
        <f>SUM(E14:E21)</f>
        <v>1771</v>
      </c>
      <c r="F22" s="106">
        <f>((B22/E22)-1)*100</f>
        <v>64.031620553359687</v>
      </c>
    </row>
    <row r="23" spans="1:6" ht="14.4" x14ac:dyDescent="0.3">
      <c r="A23" s="100" t="s">
        <v>122</v>
      </c>
      <c r="B23" s="101"/>
      <c r="C23" s="101"/>
      <c r="D23" s="102" t="s">
        <v>171</v>
      </c>
      <c r="E23" s="101"/>
      <c r="F23" s="102" t="s">
        <v>171</v>
      </c>
    </row>
    <row r="24" spans="1:6" ht="14.4" x14ac:dyDescent="0.3">
      <c r="A24" s="89" t="s">
        <v>14</v>
      </c>
      <c r="D24" s="90"/>
      <c r="F24" s="90"/>
    </row>
    <row r="25" spans="1:6" x14ac:dyDescent="0.25">
      <c r="A25" s="43" t="s">
        <v>126</v>
      </c>
      <c r="B25" s="3">
        <v>11554</v>
      </c>
      <c r="C25" s="3">
        <v>11727</v>
      </c>
      <c r="D25" s="90">
        <v>-1.4752281060799863</v>
      </c>
      <c r="E25" s="3">
        <v>6384</v>
      </c>
      <c r="F25" s="90">
        <v>80.983709273182953</v>
      </c>
    </row>
    <row r="26" spans="1:6" x14ac:dyDescent="0.25">
      <c r="A26" s="43" t="s">
        <v>164</v>
      </c>
      <c r="B26" s="3">
        <v>24826</v>
      </c>
      <c r="C26" s="3">
        <v>11234</v>
      </c>
      <c r="D26" s="90">
        <v>120.98985223428878</v>
      </c>
      <c r="E26" s="3">
        <v>22660</v>
      </c>
      <c r="F26" s="90">
        <v>9.5586937334510154</v>
      </c>
    </row>
    <row r="27" spans="1:6" x14ac:dyDescent="0.25">
      <c r="A27" s="43" t="s">
        <v>123</v>
      </c>
      <c r="B27" s="3">
        <v>14610</v>
      </c>
      <c r="C27" s="3">
        <v>10724</v>
      </c>
      <c r="D27" s="90">
        <v>36.236478925773966</v>
      </c>
      <c r="E27" s="3">
        <v>16420</v>
      </c>
      <c r="F27" s="90">
        <v>-11.0231425091352</v>
      </c>
    </row>
    <row r="28" spans="1:6" x14ac:dyDescent="0.25">
      <c r="A28" s="43" t="s">
        <v>124</v>
      </c>
      <c r="B28" s="3">
        <v>72981</v>
      </c>
      <c r="C28" s="3">
        <v>84510</v>
      </c>
      <c r="D28" s="90">
        <v>-13.642172523961662</v>
      </c>
      <c r="E28" s="3">
        <v>50994</v>
      </c>
      <c r="F28" s="90">
        <v>43.116837274973527</v>
      </c>
    </row>
    <row r="29" spans="1:6" x14ac:dyDescent="0.25">
      <c r="A29" s="43" t="s">
        <v>125</v>
      </c>
      <c r="B29" s="3">
        <v>32054</v>
      </c>
      <c r="C29" s="3">
        <v>32486</v>
      </c>
      <c r="D29" s="90">
        <v>-1.3298036077079358</v>
      </c>
      <c r="E29" s="3">
        <v>25702</v>
      </c>
      <c r="F29" s="90">
        <v>24.714030036573028</v>
      </c>
    </row>
    <row r="30" spans="1:6" x14ac:dyDescent="0.25">
      <c r="A30" s="43" t="s">
        <v>129</v>
      </c>
      <c r="B30" s="3">
        <v>1067</v>
      </c>
      <c r="C30" s="3">
        <v>532</v>
      </c>
      <c r="D30" s="90">
        <v>100.5639097744361</v>
      </c>
      <c r="E30" s="3">
        <v>155</v>
      </c>
      <c r="F30" s="90">
        <v>588.38709677419354</v>
      </c>
    </row>
    <row r="31" spans="1:6" x14ac:dyDescent="0.25">
      <c r="A31" s="43" t="s">
        <v>166</v>
      </c>
      <c r="B31" s="3">
        <v>647</v>
      </c>
      <c r="C31" s="3">
        <v>97</v>
      </c>
      <c r="D31" s="90">
        <v>567.01030927835052</v>
      </c>
      <c r="E31" s="3">
        <v>62</v>
      </c>
      <c r="F31" s="90">
        <v>943.54838709677415</v>
      </c>
    </row>
    <row r="32" spans="1:6" x14ac:dyDescent="0.25">
      <c r="A32" s="43" t="s">
        <v>130</v>
      </c>
      <c r="B32" s="3">
        <v>1117</v>
      </c>
      <c r="C32" s="3">
        <v>4890</v>
      </c>
      <c r="D32" s="90">
        <v>-77.157464212678946</v>
      </c>
      <c r="E32" s="3">
        <v>2615</v>
      </c>
      <c r="F32" s="90">
        <v>-57.284894837476095</v>
      </c>
    </row>
    <row r="33" spans="1:6" ht="14.4" x14ac:dyDescent="0.3">
      <c r="A33" s="91" t="s">
        <v>167</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126</v>
      </c>
      <c r="B35" s="3">
        <v>53</v>
      </c>
      <c r="C35" s="3">
        <v>80</v>
      </c>
      <c r="D35" s="90">
        <v>-33.75</v>
      </c>
      <c r="E35" s="3">
        <v>55</v>
      </c>
      <c r="F35" s="90">
        <v>-3.6363636363636362</v>
      </c>
    </row>
    <row r="36" spans="1:6" x14ac:dyDescent="0.25">
      <c r="A36" s="43" t="s">
        <v>164</v>
      </c>
      <c r="B36" s="3">
        <v>2489</v>
      </c>
      <c r="C36" s="3">
        <v>1351</v>
      </c>
      <c r="D36" s="90">
        <v>84.233900814211694</v>
      </c>
      <c r="E36" s="3">
        <v>1372</v>
      </c>
      <c r="F36" s="90">
        <v>81.413994169096213</v>
      </c>
    </row>
    <row r="37" spans="1:6" x14ac:dyDescent="0.25">
      <c r="A37" s="43" t="s">
        <v>123</v>
      </c>
      <c r="B37" s="3">
        <v>797</v>
      </c>
      <c r="C37" s="3">
        <v>2774</v>
      </c>
      <c r="D37" s="90">
        <v>-71.268925739005056</v>
      </c>
      <c r="E37" s="3">
        <v>143</v>
      </c>
      <c r="F37" s="90">
        <v>457.34265734265733</v>
      </c>
    </row>
    <row r="38" spans="1:6" x14ac:dyDescent="0.25">
      <c r="A38" s="43" t="s">
        <v>124</v>
      </c>
      <c r="B38" s="3">
        <v>23354</v>
      </c>
      <c r="C38" s="3">
        <v>25332</v>
      </c>
      <c r="D38" s="90">
        <v>-7.8083057003000151</v>
      </c>
      <c r="E38" s="3">
        <v>18568</v>
      </c>
      <c r="F38" s="90">
        <v>25.775527789745801</v>
      </c>
    </row>
    <row r="39" spans="1:6" x14ac:dyDescent="0.25">
      <c r="A39" s="43" t="s">
        <v>125</v>
      </c>
      <c r="B39" s="3">
        <v>7141</v>
      </c>
      <c r="C39" s="3">
        <v>4596</v>
      </c>
      <c r="D39" s="90">
        <v>55.374238468233251</v>
      </c>
      <c r="E39" s="3">
        <v>3861</v>
      </c>
      <c r="F39" s="90">
        <v>84.952084952084945</v>
      </c>
    </row>
    <row r="40" spans="1:6" x14ac:dyDescent="0.25">
      <c r="A40" s="43" t="s">
        <v>129</v>
      </c>
      <c r="B40" s="3">
        <v>0</v>
      </c>
      <c r="C40" s="3">
        <v>0</v>
      </c>
      <c r="D40" s="90" t="s">
        <v>171</v>
      </c>
      <c r="E40" s="3">
        <v>0</v>
      </c>
      <c r="F40" s="90" t="s">
        <v>171</v>
      </c>
    </row>
    <row r="41" spans="1:6" x14ac:dyDescent="0.25">
      <c r="A41" s="43" t="s">
        <v>166</v>
      </c>
      <c r="B41" s="3">
        <v>0</v>
      </c>
      <c r="C41" s="3">
        <v>80</v>
      </c>
      <c r="D41" s="90">
        <v>-100</v>
      </c>
      <c r="E41" s="3">
        <v>0</v>
      </c>
      <c r="F41" s="90" t="s">
        <v>171</v>
      </c>
    </row>
    <row r="42" spans="1:6" x14ac:dyDescent="0.25">
      <c r="A42" s="43" t="s">
        <v>130</v>
      </c>
      <c r="B42" s="3">
        <v>0</v>
      </c>
      <c r="C42" s="3">
        <v>0</v>
      </c>
      <c r="D42" s="90" t="s">
        <v>171</v>
      </c>
      <c r="E42" s="3">
        <v>500</v>
      </c>
      <c r="F42" s="90">
        <v>-100</v>
      </c>
    </row>
    <row r="43" spans="1:6" ht="14.4" x14ac:dyDescent="0.3">
      <c r="A43" s="91" t="s">
        <v>168</v>
      </c>
      <c r="B43" s="95">
        <v>33834</v>
      </c>
      <c r="C43" s="95">
        <v>34213</v>
      </c>
      <c r="D43" s="106">
        <f>((B43/C43)-1)*100</f>
        <v>-1.1077660538391876</v>
      </c>
      <c r="E43" s="95">
        <f>SUM(E35:E42)</f>
        <v>24499</v>
      </c>
      <c r="F43" s="106">
        <f>((B43/E43)-1)*100</f>
        <v>38.10359606514551</v>
      </c>
    </row>
    <row r="44" spans="1:6" ht="14.4" x14ac:dyDescent="0.3">
      <c r="A44" s="100" t="s">
        <v>175</v>
      </c>
      <c r="B44" s="101"/>
      <c r="C44" s="101"/>
      <c r="D44" s="102" t="s">
        <v>171</v>
      </c>
      <c r="E44" s="101"/>
      <c r="F44" s="102" t="s">
        <v>171</v>
      </c>
    </row>
    <row r="45" spans="1:6" ht="14.4" x14ac:dyDescent="0.3">
      <c r="A45" s="89" t="s">
        <v>14</v>
      </c>
      <c r="D45" s="90"/>
      <c r="F45" s="90"/>
    </row>
    <row r="46" spans="1:6" x14ac:dyDescent="0.25">
      <c r="A46" s="43" t="s">
        <v>126</v>
      </c>
      <c r="B46" s="96">
        <v>2540441301.1700001</v>
      </c>
      <c r="C46" s="96">
        <v>2689823264.5700002</v>
      </c>
      <c r="D46" s="90">
        <v>-5.5535977165354975</v>
      </c>
      <c r="E46" s="96">
        <v>1171950702.4200001</v>
      </c>
      <c r="F46" s="90">
        <v>116.7703211341704</v>
      </c>
    </row>
    <row r="47" spans="1:6" x14ac:dyDescent="0.25">
      <c r="A47" s="43" t="s">
        <v>164</v>
      </c>
      <c r="B47" s="96">
        <v>7573540749.7399998</v>
      </c>
      <c r="C47" s="96">
        <v>3388926579.9250002</v>
      </c>
      <c r="D47" s="90">
        <v>123.47904479853349</v>
      </c>
      <c r="E47" s="96">
        <v>5391735407.2449999</v>
      </c>
      <c r="F47" s="90">
        <v>40.465734642008904</v>
      </c>
    </row>
    <row r="48" spans="1:6" x14ac:dyDescent="0.25">
      <c r="A48" s="43" t="s">
        <v>123</v>
      </c>
      <c r="B48" s="96">
        <v>4731044838.1400003</v>
      </c>
      <c r="C48" s="96">
        <v>3701883739.0100002</v>
      </c>
      <c r="D48" s="90">
        <v>27.801010828212291</v>
      </c>
      <c r="E48" s="96">
        <v>3986746927.7950001</v>
      </c>
      <c r="F48" s="90">
        <v>18.669304167662794</v>
      </c>
    </row>
    <row r="49" spans="1:6" x14ac:dyDescent="0.25">
      <c r="A49" s="43" t="s">
        <v>124</v>
      </c>
      <c r="B49" s="96">
        <v>33153690352.77</v>
      </c>
      <c r="C49" s="96">
        <v>41308138556.739998</v>
      </c>
      <c r="D49" s="90">
        <v>-19.74053658401774</v>
      </c>
      <c r="E49" s="96">
        <v>13267423647.540001</v>
      </c>
      <c r="F49" s="90">
        <v>149.88793026833994</v>
      </c>
    </row>
    <row r="50" spans="1:6" x14ac:dyDescent="0.25">
      <c r="A50" s="43" t="s">
        <v>125</v>
      </c>
      <c r="B50" s="96">
        <v>10175781581.469999</v>
      </c>
      <c r="C50" s="96">
        <v>10598629582.35</v>
      </c>
      <c r="D50" s="90">
        <v>-3.9896478841394161</v>
      </c>
      <c r="E50" s="96">
        <v>6096388762.2200003</v>
      </c>
      <c r="F50" s="90">
        <v>66.914906157731451</v>
      </c>
    </row>
    <row r="51" spans="1:6" x14ac:dyDescent="0.25">
      <c r="A51" s="43" t="s">
        <v>129</v>
      </c>
      <c r="B51" s="96">
        <v>195500254.493</v>
      </c>
      <c r="C51" s="96">
        <v>104542755.01800001</v>
      </c>
      <c r="D51" s="90">
        <v>87.005072192079751</v>
      </c>
      <c r="E51" s="96">
        <v>22533250.010000002</v>
      </c>
      <c r="F51" s="90">
        <v>767.60788792668257</v>
      </c>
    </row>
    <row r="52" spans="1:6" x14ac:dyDescent="0.25">
      <c r="A52" s="43" t="s">
        <v>166</v>
      </c>
      <c r="B52" s="96">
        <v>92346317.064999998</v>
      </c>
      <c r="C52" s="96">
        <v>15036409.99</v>
      </c>
      <c r="D52" s="90">
        <v>514.15136409831291</v>
      </c>
      <c r="E52" s="96">
        <v>8713469.9940000009</v>
      </c>
      <c r="F52" s="90">
        <v>959.81104116487063</v>
      </c>
    </row>
    <row r="53" spans="1:6" x14ac:dyDescent="0.25">
      <c r="A53" s="43" t="s">
        <v>130</v>
      </c>
      <c r="B53" s="96">
        <v>70674825.079999998</v>
      </c>
      <c r="C53" s="96">
        <v>299796761.60000002</v>
      </c>
      <c r="D53" s="90">
        <v>-76.42575433343174</v>
      </c>
      <c r="E53" s="96">
        <v>183746405.63</v>
      </c>
      <c r="F53" s="90">
        <v>-61.536757773475038</v>
      </c>
    </row>
    <row r="54" spans="1:6" ht="14.4" x14ac:dyDescent="0.3">
      <c r="A54" s="91" t="s">
        <v>167</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171</v>
      </c>
      <c r="E55" s="98"/>
      <c r="F55" s="90"/>
    </row>
    <row r="56" spans="1:6" x14ac:dyDescent="0.25">
      <c r="A56" s="43" t="s">
        <v>126</v>
      </c>
      <c r="B56" s="96">
        <v>501372</v>
      </c>
      <c r="C56" s="96">
        <v>699773.6</v>
      </c>
      <c r="D56" s="90">
        <v>-28.352255643825369</v>
      </c>
      <c r="E56" s="96">
        <v>448020</v>
      </c>
      <c r="F56" s="90">
        <v>11.908396946564885</v>
      </c>
    </row>
    <row r="57" spans="1:6" x14ac:dyDescent="0.25">
      <c r="A57" s="43" t="s">
        <v>164</v>
      </c>
      <c r="B57" s="96">
        <v>17475613.100000001</v>
      </c>
      <c r="C57" s="96">
        <v>9029810.6199999992</v>
      </c>
      <c r="D57" s="90">
        <v>93.532443097904121</v>
      </c>
      <c r="E57" s="96">
        <v>10119526.539999999</v>
      </c>
      <c r="F57" s="90">
        <v>72.692003236744341</v>
      </c>
    </row>
    <row r="58" spans="1:6" x14ac:dyDescent="0.25">
      <c r="A58" s="43" t="s">
        <v>123</v>
      </c>
      <c r="B58" s="96">
        <v>12991581.050000001</v>
      </c>
      <c r="C58" s="96">
        <v>33888032.200000003</v>
      </c>
      <c r="D58" s="90">
        <v>-61.66321793686209</v>
      </c>
      <c r="E58" s="96">
        <v>532160.03</v>
      </c>
      <c r="F58" s="90">
        <v>2341.2921522873485</v>
      </c>
    </row>
    <row r="59" spans="1:6" x14ac:dyDescent="0.25">
      <c r="A59" s="43" t="s">
        <v>124</v>
      </c>
      <c r="B59" s="96">
        <v>486546800.80000001</v>
      </c>
      <c r="C59" s="96">
        <v>558992679.58000004</v>
      </c>
      <c r="D59" s="90">
        <v>-12.960076478001886</v>
      </c>
      <c r="E59" s="96">
        <v>155970466.88</v>
      </c>
      <c r="F59" s="90">
        <v>211.94803127334208</v>
      </c>
    </row>
    <row r="60" spans="1:6" x14ac:dyDescent="0.25">
      <c r="A60" s="43" t="s">
        <v>125</v>
      </c>
      <c r="B60" s="96">
        <v>63882831.740000002</v>
      </c>
      <c r="C60" s="96">
        <v>44850736.100000001</v>
      </c>
      <c r="D60" s="90">
        <v>42.434299400495235</v>
      </c>
      <c r="E60" s="96">
        <v>30103015.66</v>
      </c>
      <c r="F60" s="90">
        <v>112.2140600846367</v>
      </c>
    </row>
    <row r="61" spans="1:6" x14ac:dyDescent="0.25">
      <c r="A61" s="43" t="s">
        <v>129</v>
      </c>
      <c r="B61" s="96">
        <v>0</v>
      </c>
      <c r="C61" s="96">
        <v>0</v>
      </c>
      <c r="D61" s="90" t="s">
        <v>171</v>
      </c>
      <c r="E61" s="96">
        <v>0</v>
      </c>
      <c r="F61" s="90" t="s">
        <v>171</v>
      </c>
    </row>
    <row r="62" spans="1:6" x14ac:dyDescent="0.25">
      <c r="A62" s="43" t="s">
        <v>166</v>
      </c>
      <c r="B62" s="96">
        <v>0</v>
      </c>
      <c r="C62" s="96">
        <v>134421.6</v>
      </c>
      <c r="D62" s="90">
        <v>-100</v>
      </c>
      <c r="E62" s="96">
        <v>0</v>
      </c>
      <c r="F62" s="90" t="s">
        <v>171</v>
      </c>
    </row>
    <row r="63" spans="1:6" x14ac:dyDescent="0.25">
      <c r="A63" s="43" t="s">
        <v>130</v>
      </c>
      <c r="B63" s="96">
        <v>0</v>
      </c>
      <c r="C63" s="96">
        <v>0</v>
      </c>
      <c r="D63" s="90" t="s">
        <v>171</v>
      </c>
      <c r="E63" s="96">
        <v>785000</v>
      </c>
      <c r="F63" s="90">
        <v>-100</v>
      </c>
    </row>
    <row r="64" spans="1:6" ht="14.4" x14ac:dyDescent="0.3">
      <c r="A64" s="91" t="s">
        <v>168</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127</v>
      </c>
      <c r="B65" s="101"/>
      <c r="C65" s="101"/>
      <c r="D65" s="102" t="s">
        <v>171</v>
      </c>
      <c r="E65" s="101"/>
      <c r="F65" s="102" t="s">
        <v>171</v>
      </c>
    </row>
    <row r="66" spans="1:7" ht="14.4" x14ac:dyDescent="0.3">
      <c r="A66" s="89" t="s">
        <v>14</v>
      </c>
    </row>
    <row r="67" spans="1:7" x14ac:dyDescent="0.25">
      <c r="A67" s="43" t="s">
        <v>126</v>
      </c>
      <c r="B67" s="3">
        <v>2873</v>
      </c>
      <c r="C67" s="3">
        <v>4162</v>
      </c>
      <c r="D67" s="90">
        <v>-30.970687169629983</v>
      </c>
      <c r="E67" s="3">
        <v>3174</v>
      </c>
      <c r="F67" s="90">
        <v>-9.4833018273471961</v>
      </c>
    </row>
    <row r="68" spans="1:7" x14ac:dyDescent="0.25">
      <c r="A68" s="43" t="s">
        <v>164</v>
      </c>
      <c r="B68" s="3">
        <v>7514</v>
      </c>
      <c r="C68" s="3">
        <v>5173</v>
      </c>
      <c r="D68" s="90">
        <v>45.254204523487338</v>
      </c>
      <c r="E68" s="3">
        <v>6485</v>
      </c>
      <c r="F68" s="90">
        <v>15.867386276021589</v>
      </c>
    </row>
    <row r="69" spans="1:7" x14ac:dyDescent="0.25">
      <c r="A69" s="43" t="s">
        <v>123</v>
      </c>
      <c r="B69" s="3">
        <v>5086</v>
      </c>
      <c r="C69" s="3">
        <v>4456</v>
      </c>
      <c r="D69" s="90">
        <v>14.138240574506284</v>
      </c>
      <c r="E69" s="3">
        <v>3641</v>
      </c>
      <c r="F69" s="90">
        <v>39.686899203515516</v>
      </c>
    </row>
    <row r="70" spans="1:7" x14ac:dyDescent="0.25">
      <c r="A70" s="43" t="s">
        <v>124</v>
      </c>
      <c r="B70" s="3">
        <v>24502</v>
      </c>
      <c r="C70" s="3">
        <v>23341</v>
      </c>
      <c r="D70" s="90">
        <v>4.9740799451608764</v>
      </c>
      <c r="E70" s="3">
        <v>27863</v>
      </c>
      <c r="F70" s="90">
        <v>-12.062591967842659</v>
      </c>
    </row>
    <row r="71" spans="1:7" x14ac:dyDescent="0.25">
      <c r="A71" s="43" t="s">
        <v>125</v>
      </c>
      <c r="B71" s="3">
        <v>16409</v>
      </c>
      <c r="C71" s="3">
        <v>16682</v>
      </c>
      <c r="D71" s="90">
        <v>-1.6364944251288815</v>
      </c>
      <c r="E71" s="3">
        <v>16736</v>
      </c>
      <c r="F71" s="90">
        <v>-1.9538718929254302</v>
      </c>
    </row>
    <row r="72" spans="1:7" x14ac:dyDescent="0.25">
      <c r="A72" s="43" t="s">
        <v>129</v>
      </c>
      <c r="B72" s="3">
        <v>880</v>
      </c>
      <c r="C72" s="3">
        <v>1262</v>
      </c>
      <c r="D72" s="90">
        <v>-30.269413629160063</v>
      </c>
      <c r="E72" s="3">
        <v>296</v>
      </c>
      <c r="F72" s="90">
        <v>197.29729729729729</v>
      </c>
    </row>
    <row r="73" spans="1:7" x14ac:dyDescent="0.25">
      <c r="A73" s="43" t="s">
        <v>166</v>
      </c>
      <c r="B73" s="3">
        <v>188</v>
      </c>
      <c r="C73" s="3">
        <v>463</v>
      </c>
      <c r="D73" s="90">
        <v>-59.395248380129594</v>
      </c>
      <c r="E73" s="3">
        <v>237</v>
      </c>
      <c r="F73" s="90">
        <v>-20.675105485232066</v>
      </c>
    </row>
    <row r="74" spans="1:7" x14ac:dyDescent="0.25">
      <c r="A74" s="43" t="s">
        <v>130</v>
      </c>
      <c r="B74" s="3">
        <v>552</v>
      </c>
      <c r="C74" s="3">
        <v>230</v>
      </c>
      <c r="D74" s="90">
        <v>140</v>
      </c>
      <c r="E74" s="3">
        <v>850</v>
      </c>
      <c r="F74" s="90">
        <v>-35.058823529411768</v>
      </c>
    </row>
    <row r="75" spans="1:7" ht="14.4" x14ac:dyDescent="0.3">
      <c r="A75" s="89" t="s">
        <v>15</v>
      </c>
      <c r="B75" s="3"/>
      <c r="C75" s="3"/>
      <c r="E75" s="3"/>
      <c r="F75" s="90"/>
    </row>
    <row r="76" spans="1:7" x14ac:dyDescent="0.25">
      <c r="A76" s="43" t="s">
        <v>126</v>
      </c>
      <c r="B76" s="3">
        <v>115</v>
      </c>
      <c r="C76" s="3">
        <v>90</v>
      </c>
      <c r="D76" s="90">
        <v>27.777777777777779</v>
      </c>
      <c r="E76" s="3">
        <v>52</v>
      </c>
      <c r="F76" s="90">
        <v>121.15384615384615</v>
      </c>
    </row>
    <row r="77" spans="1:7" x14ac:dyDescent="0.25">
      <c r="A77" s="43" t="s">
        <v>164</v>
      </c>
      <c r="B77" s="3">
        <v>1598</v>
      </c>
      <c r="C77" s="3">
        <v>5965</v>
      </c>
      <c r="D77" s="90">
        <v>-73.210393964794633</v>
      </c>
      <c r="E77" s="3">
        <v>407</v>
      </c>
      <c r="F77" s="90">
        <v>292.62899262899265</v>
      </c>
      <c r="G77" s="99"/>
    </row>
    <row r="78" spans="1:7" x14ac:dyDescent="0.25">
      <c r="A78" s="43" t="s">
        <v>123</v>
      </c>
      <c r="B78" s="3">
        <v>2522</v>
      </c>
      <c r="C78" s="3">
        <v>4182</v>
      </c>
      <c r="D78" s="90">
        <v>-39.69392635102821</v>
      </c>
      <c r="E78" s="3">
        <v>1217</v>
      </c>
      <c r="F78" s="90">
        <v>107.23089564502877</v>
      </c>
      <c r="G78" s="99"/>
    </row>
    <row r="79" spans="1:7" x14ac:dyDescent="0.25">
      <c r="A79" s="43" t="s">
        <v>124</v>
      </c>
      <c r="B79" s="3">
        <v>67103</v>
      </c>
      <c r="C79" s="3">
        <v>65902</v>
      </c>
      <c r="D79" s="90">
        <v>1.8224029619738398</v>
      </c>
      <c r="E79" s="3">
        <v>46702</v>
      </c>
      <c r="F79" s="90">
        <v>43.683354031947239</v>
      </c>
      <c r="G79" s="99"/>
    </row>
    <row r="80" spans="1:7" x14ac:dyDescent="0.25">
      <c r="A80" s="43" t="s">
        <v>125</v>
      </c>
      <c r="B80" s="3">
        <v>21144</v>
      </c>
      <c r="C80" s="3">
        <v>18806</v>
      </c>
      <c r="D80" s="90">
        <v>12.432202488567478</v>
      </c>
      <c r="E80" s="3">
        <v>16179</v>
      </c>
      <c r="F80" s="90">
        <v>30.687928796588171</v>
      </c>
    </row>
    <row r="81" spans="1:6" x14ac:dyDescent="0.25">
      <c r="A81" s="43" t="s">
        <v>129</v>
      </c>
      <c r="B81" s="3">
        <v>0</v>
      </c>
      <c r="C81" s="3">
        <v>0</v>
      </c>
      <c r="D81" s="90" t="s">
        <v>171</v>
      </c>
      <c r="E81" s="3">
        <v>0</v>
      </c>
      <c r="F81" s="90" t="s">
        <v>171</v>
      </c>
    </row>
    <row r="82" spans="1:6" x14ac:dyDescent="0.25">
      <c r="A82" s="43" t="s">
        <v>166</v>
      </c>
      <c r="B82" s="3">
        <v>80</v>
      </c>
      <c r="C82" s="3">
        <v>80</v>
      </c>
      <c r="D82" s="90">
        <v>0</v>
      </c>
      <c r="E82" s="3">
        <v>130</v>
      </c>
      <c r="F82" s="90">
        <v>-38.461538461538467</v>
      </c>
    </row>
    <row r="83" spans="1:6" x14ac:dyDescent="0.25">
      <c r="A83" s="43" t="s">
        <v>130</v>
      </c>
      <c r="B83" s="3">
        <v>0</v>
      </c>
      <c r="C83" s="3">
        <v>0</v>
      </c>
      <c r="D83" s="90" t="s">
        <v>171</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202</v>
      </c>
      <c r="B1" t="s">
        <v>203</v>
      </c>
      <c r="C1" t="s">
        <v>204</v>
      </c>
      <c r="D1" t="s">
        <v>205</v>
      </c>
    </row>
    <row r="2" spans="1:4" x14ac:dyDescent="0.25">
      <c r="A2" t="s">
        <v>206</v>
      </c>
      <c r="B2" s="149">
        <v>38713</v>
      </c>
      <c r="C2">
        <v>17296.830000000002</v>
      </c>
      <c r="D2">
        <v>1</v>
      </c>
    </row>
    <row r="3" spans="1:4" x14ac:dyDescent="0.25">
      <c r="A3" t="s">
        <v>207</v>
      </c>
      <c r="B3" s="149">
        <v>38713</v>
      </c>
      <c r="C3">
        <v>20229.37</v>
      </c>
      <c r="D3">
        <v>1</v>
      </c>
    </row>
    <row r="4" spans="1:4" x14ac:dyDescent="0.25">
      <c r="A4" t="s">
        <v>208</v>
      </c>
      <c r="B4" s="149">
        <v>38628</v>
      </c>
      <c r="C4">
        <v>10207.67</v>
      </c>
      <c r="D4">
        <v>1</v>
      </c>
    </row>
    <row r="5" spans="1:4" x14ac:dyDescent="0.25">
      <c r="A5" t="s">
        <v>209</v>
      </c>
      <c r="B5" s="149">
        <v>38713</v>
      </c>
      <c r="C5">
        <v>17257.37</v>
      </c>
      <c r="D5">
        <v>1</v>
      </c>
    </row>
    <row r="6" spans="1:4" x14ac:dyDescent="0.25">
      <c r="A6" t="s">
        <v>210</v>
      </c>
      <c r="B6" s="149">
        <v>38716</v>
      </c>
      <c r="C6">
        <v>10070.700000000001</v>
      </c>
      <c r="D6">
        <v>1</v>
      </c>
    </row>
    <row r="7" spans="1:4" x14ac:dyDescent="0.25">
      <c r="A7" t="s">
        <v>211</v>
      </c>
      <c r="B7" s="149">
        <v>38677</v>
      </c>
      <c r="C7">
        <v>28766.959999999999</v>
      </c>
      <c r="D7">
        <v>1</v>
      </c>
    </row>
    <row r="8" spans="1:4" x14ac:dyDescent="0.25">
      <c r="A8" t="s">
        <v>212</v>
      </c>
      <c r="B8" s="149">
        <v>37432</v>
      </c>
      <c r="C8">
        <v>30613.119999999999</v>
      </c>
      <c r="D8">
        <v>1</v>
      </c>
    </row>
    <row r="9" spans="1:4" x14ac:dyDescent="0.25">
      <c r="A9" t="s">
        <v>213</v>
      </c>
      <c r="B9" s="149">
        <v>38425</v>
      </c>
      <c r="C9">
        <v>14581.36</v>
      </c>
      <c r="D9">
        <v>1</v>
      </c>
    </row>
    <row r="10" spans="1:4" x14ac:dyDescent="0.25">
      <c r="A10" t="s">
        <v>214</v>
      </c>
      <c r="B10" s="149">
        <v>38715</v>
      </c>
      <c r="C10">
        <v>17673.63</v>
      </c>
      <c r="D10">
        <v>1</v>
      </c>
    </row>
    <row r="11" spans="1:4" x14ac:dyDescent="0.25">
      <c r="A11" t="s">
        <v>215</v>
      </c>
      <c r="B11" s="149">
        <v>38715</v>
      </c>
      <c r="C11">
        <v>34075.21</v>
      </c>
      <c r="D11">
        <v>1</v>
      </c>
    </row>
    <row r="12" spans="1:4" x14ac:dyDescent="0.25">
      <c r="A12" t="s">
        <v>216</v>
      </c>
      <c r="B12" s="149">
        <v>38680</v>
      </c>
      <c r="C12">
        <v>18105.080000000002</v>
      </c>
      <c r="D12">
        <v>1</v>
      </c>
    </row>
    <row r="13" spans="1:4" x14ac:dyDescent="0.25">
      <c r="A13" t="s">
        <v>217</v>
      </c>
      <c r="B13" s="149">
        <v>38604</v>
      </c>
      <c r="C13">
        <v>28742.13</v>
      </c>
      <c r="D13">
        <v>1</v>
      </c>
    </row>
    <row r="14" spans="1:4" x14ac:dyDescent="0.25">
      <c r="A14" t="s">
        <v>218</v>
      </c>
      <c r="B14" s="149">
        <v>38709</v>
      </c>
      <c r="C14">
        <v>10955.45</v>
      </c>
      <c r="D14">
        <v>1</v>
      </c>
    </row>
    <row r="15" spans="1:4" x14ac:dyDescent="0.25">
      <c r="A15" t="s">
        <v>219</v>
      </c>
      <c r="B15" s="149">
        <v>38580</v>
      </c>
      <c r="C15">
        <v>2321.6</v>
      </c>
      <c r="D15">
        <v>1</v>
      </c>
    </row>
    <row r="16" spans="1:4" x14ac:dyDescent="0.25">
      <c r="A16" t="s">
        <v>220</v>
      </c>
      <c r="B16" s="149">
        <v>38709</v>
      </c>
      <c r="C16">
        <v>2183.41</v>
      </c>
      <c r="D16">
        <v>1</v>
      </c>
    </row>
    <row r="17" spans="1:4" x14ac:dyDescent="0.25">
      <c r="A17" t="s">
        <v>221</v>
      </c>
      <c r="B17" s="149">
        <v>38663</v>
      </c>
      <c r="C17">
        <v>14154.09</v>
      </c>
      <c r="D17">
        <v>1</v>
      </c>
    </row>
    <row r="18" spans="1:4" x14ac:dyDescent="0.25">
      <c r="A18" t="s">
        <v>222</v>
      </c>
      <c r="B18" s="149">
        <v>38663</v>
      </c>
      <c r="C18">
        <v>43569.17</v>
      </c>
      <c r="D18">
        <v>1</v>
      </c>
    </row>
    <row r="19" spans="1:4" x14ac:dyDescent="0.25">
      <c r="A19" t="s">
        <v>223</v>
      </c>
      <c r="B19" s="149">
        <v>38715</v>
      </c>
      <c r="C19">
        <v>25723.24</v>
      </c>
      <c r="D19">
        <v>1</v>
      </c>
    </row>
    <row r="20" spans="1:4" x14ac:dyDescent="0.25">
      <c r="A20" t="s">
        <v>224</v>
      </c>
      <c r="B20" s="149">
        <v>38716</v>
      </c>
      <c r="C20">
        <v>18207.32</v>
      </c>
      <c r="D20">
        <v>1</v>
      </c>
    </row>
    <row r="21" spans="1:4" x14ac:dyDescent="0.25">
      <c r="A21" t="s">
        <v>225</v>
      </c>
      <c r="B21" s="149">
        <v>38615</v>
      </c>
      <c r="C21">
        <v>4728.4799999999996</v>
      </c>
      <c r="D21">
        <v>1</v>
      </c>
    </row>
    <row r="22" spans="1:4" x14ac:dyDescent="0.25">
      <c r="A22" t="s">
        <v>226</v>
      </c>
      <c r="B22" s="149">
        <v>38716</v>
      </c>
      <c r="C22">
        <v>23744.76</v>
      </c>
      <c r="D22">
        <v>1</v>
      </c>
    </row>
    <row r="23" spans="1:4" x14ac:dyDescent="0.25">
      <c r="A23" t="s">
        <v>227</v>
      </c>
      <c r="B23" s="149">
        <v>38715</v>
      </c>
      <c r="C23">
        <v>24993.42</v>
      </c>
      <c r="D23">
        <v>1</v>
      </c>
    </row>
    <row r="24" spans="1:4" x14ac:dyDescent="0.25">
      <c r="A24" t="s">
        <v>228</v>
      </c>
      <c r="B24" s="149">
        <v>38716</v>
      </c>
      <c r="C24">
        <v>2895.12</v>
      </c>
      <c r="D24">
        <v>1</v>
      </c>
    </row>
    <row r="25" spans="1:4" x14ac:dyDescent="0.25">
      <c r="A25" t="s">
        <v>229</v>
      </c>
      <c r="B25" s="149">
        <v>38699</v>
      </c>
      <c r="C25">
        <v>28328.49</v>
      </c>
      <c r="D25">
        <v>1</v>
      </c>
    </row>
    <row r="26" spans="1:4" x14ac:dyDescent="0.25">
      <c r="A26" t="s">
        <v>230</v>
      </c>
      <c r="B26" s="149">
        <v>42195</v>
      </c>
      <c r="C26">
        <v>67821.078360950007</v>
      </c>
      <c r="D26">
        <v>1</v>
      </c>
    </row>
    <row r="27" spans="1:4" x14ac:dyDescent="0.25">
      <c r="A27" t="s">
        <v>231</v>
      </c>
      <c r="B27" s="149">
        <v>38709</v>
      </c>
      <c r="C27">
        <v>1445.21</v>
      </c>
      <c r="D27">
        <v>1</v>
      </c>
    </row>
    <row r="28" spans="1:4" x14ac:dyDescent="0.25">
      <c r="A28" t="s">
        <v>232</v>
      </c>
      <c r="B28" s="149">
        <v>38673</v>
      </c>
      <c r="C28">
        <v>110.01</v>
      </c>
      <c r="D28">
        <v>1</v>
      </c>
    </row>
    <row r="29" spans="1:4" x14ac:dyDescent="0.25">
      <c r="A29" t="s">
        <v>233</v>
      </c>
      <c r="B29" s="149">
        <v>38709</v>
      </c>
      <c r="C29">
        <v>34691.21</v>
      </c>
      <c r="D29">
        <v>1</v>
      </c>
    </row>
    <row r="30" spans="1:4" x14ac:dyDescent="0.25">
      <c r="A30" t="s">
        <v>234</v>
      </c>
      <c r="B30" s="149">
        <v>38716</v>
      </c>
      <c r="C30">
        <v>14859.1</v>
      </c>
      <c r="D30">
        <v>1</v>
      </c>
    </row>
    <row r="31" spans="1:4" x14ac:dyDescent="0.25">
      <c r="A31" t="s">
        <v>235</v>
      </c>
      <c r="B31" s="149">
        <v>38708</v>
      </c>
      <c r="C31">
        <v>1357.01</v>
      </c>
      <c r="D31">
        <v>1</v>
      </c>
    </row>
    <row r="32" spans="1:4" x14ac:dyDescent="0.25">
      <c r="A32" t="s">
        <v>236</v>
      </c>
      <c r="B32" s="149">
        <v>38713</v>
      </c>
      <c r="C32">
        <v>17869.22</v>
      </c>
      <c r="D32">
        <v>1</v>
      </c>
    </row>
    <row r="33" spans="1:4" x14ac:dyDescent="0.25">
      <c r="A33" t="s">
        <v>237</v>
      </c>
      <c r="B33" s="149">
        <v>38713</v>
      </c>
      <c r="C33">
        <v>30401.200000000001</v>
      </c>
      <c r="D33">
        <v>1</v>
      </c>
    </row>
    <row r="34" spans="1:4" x14ac:dyDescent="0.25">
      <c r="A34" t="s">
        <v>238</v>
      </c>
      <c r="B34" s="149">
        <v>38709</v>
      </c>
      <c r="C34">
        <v>16626.419999999998</v>
      </c>
      <c r="D34">
        <v>1</v>
      </c>
    </row>
    <row r="35" spans="1:4" x14ac:dyDescent="0.25">
      <c r="A35" t="s">
        <v>239</v>
      </c>
      <c r="B35" s="149">
        <v>38713</v>
      </c>
      <c r="C35">
        <v>14630.23</v>
      </c>
      <c r="D35">
        <v>1</v>
      </c>
    </row>
    <row r="36" spans="1:4" x14ac:dyDescent="0.25">
      <c r="A36" t="s">
        <v>240</v>
      </c>
      <c r="B36" s="149">
        <v>38713</v>
      </c>
      <c r="C36">
        <v>1547.81</v>
      </c>
      <c r="D36">
        <v>1</v>
      </c>
    </row>
    <row r="37" spans="1:4" x14ac:dyDescent="0.25">
      <c r="A37" t="s">
        <v>241</v>
      </c>
      <c r="B37" s="149">
        <v>38713</v>
      </c>
      <c r="C37">
        <v>590.19000000000005</v>
      </c>
      <c r="D37">
        <v>1</v>
      </c>
    </row>
    <row r="38" spans="1:4" x14ac:dyDescent="0.25">
      <c r="A38" t="s">
        <v>242</v>
      </c>
      <c r="B38" s="149">
        <v>38713</v>
      </c>
      <c r="C38">
        <v>1846.94</v>
      </c>
      <c r="D38">
        <v>1</v>
      </c>
    </row>
    <row r="39" spans="1:4" x14ac:dyDescent="0.25">
      <c r="A39" t="s">
        <v>243</v>
      </c>
      <c r="B39" s="149">
        <v>38709</v>
      </c>
      <c r="C39">
        <v>9758.19</v>
      </c>
      <c r="D39">
        <v>1</v>
      </c>
    </row>
    <row r="40" spans="1:4" x14ac:dyDescent="0.25">
      <c r="A40" t="s">
        <v>244</v>
      </c>
      <c r="B40" s="149">
        <v>38580</v>
      </c>
      <c r="C40">
        <v>673.25</v>
      </c>
      <c r="D40">
        <v>1</v>
      </c>
    </row>
    <row r="41" spans="1:4" x14ac:dyDescent="0.25">
      <c r="A41" t="s">
        <v>245</v>
      </c>
      <c r="B41" s="149">
        <v>38709</v>
      </c>
      <c r="C41">
        <v>196.52</v>
      </c>
      <c r="D41">
        <v>1</v>
      </c>
    </row>
    <row r="42" spans="1:4" x14ac:dyDescent="0.25">
      <c r="A42" t="s">
        <v>86</v>
      </c>
      <c r="B42" s="149">
        <v>41849</v>
      </c>
      <c r="C42">
        <v>22461.45680964</v>
      </c>
      <c r="D42">
        <v>1</v>
      </c>
    </row>
    <row r="43" spans="1:4" x14ac:dyDescent="0.25">
      <c r="A43" t="s">
        <v>246</v>
      </c>
      <c r="B43" s="149">
        <v>42122</v>
      </c>
      <c r="C43">
        <v>9390.5427286199993</v>
      </c>
      <c r="D43">
        <v>1</v>
      </c>
    </row>
    <row r="44" spans="1:4" x14ac:dyDescent="0.25">
      <c r="A44" t="s">
        <v>247</v>
      </c>
      <c r="B44" s="149">
        <v>42480</v>
      </c>
      <c r="C44">
        <v>10466.885065210001</v>
      </c>
      <c r="D44">
        <v>1</v>
      </c>
    </row>
    <row r="45" spans="1:4" x14ac:dyDescent="0.25">
      <c r="A45" t="s">
        <v>248</v>
      </c>
      <c r="B45" s="149">
        <v>42524</v>
      </c>
      <c r="C45">
        <v>10562.33998273</v>
      </c>
      <c r="D45">
        <v>1</v>
      </c>
    </row>
    <row r="46" spans="1:4" x14ac:dyDescent="0.25">
      <c r="A46" t="s">
        <v>249</v>
      </c>
      <c r="B46" s="149">
        <v>41967</v>
      </c>
      <c r="C46">
        <v>25297.640064309999</v>
      </c>
      <c r="D46">
        <v>1</v>
      </c>
    </row>
    <row r="47" spans="1:4" x14ac:dyDescent="0.25">
      <c r="A47" t="s">
        <v>250</v>
      </c>
      <c r="B47" s="149">
        <v>41849</v>
      </c>
      <c r="C47">
        <v>4482.8823280400002</v>
      </c>
      <c r="D47">
        <v>1</v>
      </c>
    </row>
    <row r="48" spans="1:4" x14ac:dyDescent="0.25">
      <c r="A48" t="s">
        <v>251</v>
      </c>
      <c r="B48" s="149">
        <v>41849</v>
      </c>
      <c r="C48">
        <v>4264.0820106800002</v>
      </c>
      <c r="D48">
        <v>1</v>
      </c>
    </row>
    <row r="49" spans="1:4" x14ac:dyDescent="0.25">
      <c r="A49" t="s">
        <v>88</v>
      </c>
      <c r="B49" s="149">
        <v>41849</v>
      </c>
      <c r="C49">
        <v>4599.9677435399999</v>
      </c>
      <c r="D49">
        <v>1</v>
      </c>
    </row>
    <row r="50" spans="1:4" x14ac:dyDescent="0.25">
      <c r="A50" t="s">
        <v>62</v>
      </c>
      <c r="B50" s="149">
        <v>37515</v>
      </c>
      <c r="C50">
        <v>3456.48</v>
      </c>
      <c r="D50">
        <v>1</v>
      </c>
    </row>
    <row r="51" spans="1:4" x14ac:dyDescent="0.25">
      <c r="A51" t="s">
        <v>252</v>
      </c>
      <c r="B51" s="149">
        <v>39629</v>
      </c>
      <c r="C51">
        <v>51541.23</v>
      </c>
      <c r="D51">
        <v>1</v>
      </c>
    </row>
    <row r="52" spans="1:4" x14ac:dyDescent="0.25">
      <c r="A52" t="s">
        <v>253</v>
      </c>
      <c r="B52" s="149">
        <v>37970</v>
      </c>
      <c r="C52">
        <v>1201.19</v>
      </c>
      <c r="D52">
        <v>1</v>
      </c>
    </row>
    <row r="53" spans="1:4" x14ac:dyDescent="0.25">
      <c r="A53" t="s">
        <v>99</v>
      </c>
      <c r="B53" s="149">
        <v>39587</v>
      </c>
      <c r="C53">
        <v>146.47999999999999</v>
      </c>
      <c r="D53">
        <v>1</v>
      </c>
    </row>
    <row r="54" spans="1:4" x14ac:dyDescent="0.25">
      <c r="A54" t="s">
        <v>100</v>
      </c>
      <c r="B54" s="149">
        <v>39590</v>
      </c>
      <c r="C54">
        <v>12608.67</v>
      </c>
      <c r="D54">
        <v>1</v>
      </c>
    </row>
    <row r="55" spans="1:4" x14ac:dyDescent="0.25">
      <c r="A55" t="s">
        <v>254</v>
      </c>
      <c r="B55" s="149">
        <v>38009</v>
      </c>
      <c r="C55">
        <v>999.63</v>
      </c>
      <c r="D55">
        <v>1</v>
      </c>
    </row>
    <row r="56" spans="1:4" x14ac:dyDescent="0.25">
      <c r="A56" t="s">
        <v>255</v>
      </c>
      <c r="B56" s="149">
        <v>42339</v>
      </c>
      <c r="C56">
        <v>56242.231982290003</v>
      </c>
      <c r="D56">
        <v>1</v>
      </c>
    </row>
    <row r="57" spans="1:4" x14ac:dyDescent="0.25">
      <c r="A57" t="s">
        <v>256</v>
      </c>
      <c r="B57" s="149">
        <v>39604</v>
      </c>
      <c r="C57">
        <v>61121.71</v>
      </c>
      <c r="D57">
        <v>1</v>
      </c>
    </row>
    <row r="58" spans="1:4" x14ac:dyDescent="0.25">
      <c r="A58" t="s">
        <v>257</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258</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102</v>
      </c>
      <c r="B69" s="149">
        <v>42346</v>
      </c>
      <c r="C69">
        <v>1703.8449540300001</v>
      </c>
      <c r="D69">
        <v>1</v>
      </c>
    </row>
    <row r="70" spans="1:4" x14ac:dyDescent="0.25">
      <c r="A70" t="s">
        <v>103</v>
      </c>
      <c r="B70" s="149">
        <v>38723</v>
      </c>
      <c r="C70">
        <v>641.64</v>
      </c>
      <c r="D70">
        <v>1</v>
      </c>
    </row>
    <row r="71" spans="1:4" x14ac:dyDescent="0.25">
      <c r="A71" t="s">
        <v>105</v>
      </c>
      <c r="B71" s="149">
        <v>39400</v>
      </c>
      <c r="C71">
        <v>5041.9399999999996</v>
      </c>
      <c r="D71">
        <v>1</v>
      </c>
    </row>
    <row r="72" spans="1:4" x14ac:dyDescent="0.25">
      <c r="A72" t="s">
        <v>259</v>
      </c>
      <c r="B72" s="149">
        <v>39400</v>
      </c>
      <c r="C72">
        <v>2186.16</v>
      </c>
      <c r="D72">
        <v>1</v>
      </c>
    </row>
    <row r="73" spans="1:4" x14ac:dyDescent="0.25">
      <c r="A73" t="s">
        <v>260</v>
      </c>
      <c r="B73" s="149">
        <v>39384</v>
      </c>
      <c r="C73">
        <v>92.671239999999997</v>
      </c>
      <c r="D73">
        <v>1</v>
      </c>
    </row>
    <row r="74" spans="1:4" x14ac:dyDescent="0.25">
      <c r="A74" t="s">
        <v>261</v>
      </c>
      <c r="B74" s="149">
        <v>42520</v>
      </c>
      <c r="C74">
        <v>335.62757864000002</v>
      </c>
      <c r="D74">
        <v>1</v>
      </c>
    </row>
    <row r="75" spans="1:4" x14ac:dyDescent="0.25">
      <c r="A75" t="s">
        <v>262</v>
      </c>
      <c r="B75" s="149">
        <v>41824</v>
      </c>
      <c r="C75">
        <v>253.72994224000001</v>
      </c>
      <c r="D75">
        <v>1</v>
      </c>
    </row>
    <row r="76" spans="1:4" x14ac:dyDescent="0.25">
      <c r="A76" t="s">
        <v>263</v>
      </c>
      <c r="B76" s="149">
        <v>42349</v>
      </c>
      <c r="C76">
        <v>193.77286846000001</v>
      </c>
      <c r="D76">
        <v>1</v>
      </c>
    </row>
    <row r="77" spans="1:4" x14ac:dyDescent="0.25">
      <c r="A77" t="s">
        <v>264</v>
      </c>
      <c r="B77" s="149">
        <v>42520</v>
      </c>
      <c r="C77">
        <v>435.48899929999999</v>
      </c>
      <c r="D77">
        <v>1</v>
      </c>
    </row>
    <row r="78" spans="1:4" x14ac:dyDescent="0.25">
      <c r="A78" t="s">
        <v>265</v>
      </c>
      <c r="B78" s="149">
        <v>42312</v>
      </c>
      <c r="C78">
        <v>8236.4463907900008</v>
      </c>
      <c r="D78">
        <v>1</v>
      </c>
    </row>
    <row r="79" spans="1:4" x14ac:dyDescent="0.25">
      <c r="A79" t="s">
        <v>266</v>
      </c>
      <c r="B79" s="149">
        <v>40926</v>
      </c>
      <c r="C79">
        <v>1131.78</v>
      </c>
      <c r="D79">
        <v>1</v>
      </c>
    </row>
    <row r="80" spans="1:4" x14ac:dyDescent="0.25">
      <c r="A80" t="s">
        <v>90</v>
      </c>
      <c r="B80" s="149">
        <v>42107</v>
      </c>
      <c r="C80">
        <v>672.08047084999998</v>
      </c>
      <c r="D80">
        <v>1</v>
      </c>
    </row>
    <row r="81" spans="1:4" x14ac:dyDescent="0.25">
      <c r="A81" t="s">
        <v>92</v>
      </c>
      <c r="B81" s="149">
        <v>42305</v>
      </c>
      <c r="C81">
        <v>597.8558587</v>
      </c>
      <c r="D81">
        <v>1</v>
      </c>
    </row>
    <row r="82" spans="1:4" x14ac:dyDescent="0.25">
      <c r="A82" t="s">
        <v>267</v>
      </c>
      <c r="B82" s="149">
        <v>42032</v>
      </c>
      <c r="C82">
        <v>695.5143372</v>
      </c>
      <c r="D82">
        <v>1</v>
      </c>
    </row>
    <row r="83" spans="1:4" x14ac:dyDescent="0.25">
      <c r="A83" t="s">
        <v>268</v>
      </c>
      <c r="B83" s="149">
        <v>41411</v>
      </c>
      <c r="C83">
        <v>2240.63</v>
      </c>
      <c r="D83">
        <v>1</v>
      </c>
    </row>
    <row r="84" spans="1:4" x14ac:dyDescent="0.25">
      <c r="A84" t="s">
        <v>269</v>
      </c>
      <c r="B84" s="149">
        <v>42520</v>
      </c>
      <c r="C84">
        <v>82077.662416840001</v>
      </c>
      <c r="D84">
        <v>1</v>
      </c>
    </row>
    <row r="85" spans="1:4" x14ac:dyDescent="0.25">
      <c r="A85" t="s">
        <v>94</v>
      </c>
      <c r="B85" s="149">
        <v>39590</v>
      </c>
      <c r="C85">
        <v>42495.61</v>
      </c>
      <c r="D85">
        <v>1</v>
      </c>
    </row>
    <row r="86" spans="1:4" x14ac:dyDescent="0.25">
      <c r="A86" t="s">
        <v>270</v>
      </c>
      <c r="B86" s="149">
        <v>42048</v>
      </c>
      <c r="C86">
        <v>246.82307969999999</v>
      </c>
      <c r="D86">
        <v>1</v>
      </c>
    </row>
    <row r="87" spans="1:4" x14ac:dyDescent="0.25">
      <c r="A87" t="s">
        <v>271</v>
      </c>
      <c r="B87" s="149">
        <v>42122</v>
      </c>
      <c r="C87">
        <v>10462.682748179999</v>
      </c>
      <c r="D87">
        <v>1</v>
      </c>
    </row>
    <row r="88" spans="1:4" x14ac:dyDescent="0.25">
      <c r="A88" t="s">
        <v>272</v>
      </c>
      <c r="B88" s="149">
        <v>42122</v>
      </c>
      <c r="C88">
        <v>9914.4898120199996</v>
      </c>
      <c r="D88">
        <v>1</v>
      </c>
    </row>
    <row r="89" spans="1:4" x14ac:dyDescent="0.25">
      <c r="A89" t="s">
        <v>273</v>
      </c>
      <c r="B89" s="149">
        <v>42544</v>
      </c>
      <c r="C89">
        <v>177.14090324</v>
      </c>
      <c r="D89">
        <v>1</v>
      </c>
    </row>
    <row r="90" spans="1:4" x14ac:dyDescent="0.25">
      <c r="A90" t="s">
        <v>274</v>
      </c>
      <c r="B90" s="149">
        <v>39226</v>
      </c>
      <c r="C90">
        <v>30904.43</v>
      </c>
      <c r="D90">
        <v>1</v>
      </c>
    </row>
    <row r="91" spans="1:4" x14ac:dyDescent="0.25">
      <c r="A91" t="s">
        <v>275</v>
      </c>
      <c r="B91" s="149">
        <v>41655</v>
      </c>
      <c r="C91">
        <v>9348.2787054399996</v>
      </c>
      <c r="D91">
        <v>1</v>
      </c>
    </row>
    <row r="92" spans="1:4" x14ac:dyDescent="0.25">
      <c r="A92" t="s">
        <v>276</v>
      </c>
      <c r="B92" s="149">
        <v>41800</v>
      </c>
      <c r="C92">
        <v>210.35973263</v>
      </c>
      <c r="D92">
        <v>1</v>
      </c>
    </row>
    <row r="93" spans="1:4" x14ac:dyDescent="0.25">
      <c r="A93" t="s">
        <v>277</v>
      </c>
      <c r="B93" s="149">
        <v>42193</v>
      </c>
      <c r="C93">
        <v>3470.8482101700001</v>
      </c>
      <c r="D93">
        <v>1</v>
      </c>
    </row>
    <row r="94" spans="1:4" x14ac:dyDescent="0.25">
      <c r="A94" t="s">
        <v>278</v>
      </c>
      <c r="B94" s="149">
        <v>42122</v>
      </c>
      <c r="C94">
        <v>10348.20134439</v>
      </c>
      <c r="D94">
        <v>1</v>
      </c>
    </row>
    <row r="95" spans="1:4" x14ac:dyDescent="0.25">
      <c r="A95" t="s">
        <v>279</v>
      </c>
      <c r="B95" s="149">
        <v>42548</v>
      </c>
      <c r="C95">
        <v>10305.865100000001</v>
      </c>
      <c r="D95">
        <v>1</v>
      </c>
    </row>
    <row r="96" spans="1:4" x14ac:dyDescent="0.25">
      <c r="A96" t="s">
        <v>280</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281</v>
      </c>
      <c r="B99" s="149">
        <v>40588</v>
      </c>
      <c r="C99">
        <v>24209.279999999999</v>
      </c>
      <c r="D99">
        <v>1</v>
      </c>
    </row>
    <row r="100" spans="1:4" x14ac:dyDescent="0.25">
      <c r="A100" t="s">
        <v>96</v>
      </c>
      <c r="B100" s="149">
        <v>42129</v>
      </c>
      <c r="C100">
        <v>431.46959335999998</v>
      </c>
      <c r="D100">
        <v>1</v>
      </c>
    </row>
    <row r="101" spans="1:4" x14ac:dyDescent="0.25">
      <c r="A101" t="s">
        <v>98</v>
      </c>
      <c r="B101" s="149">
        <v>42520</v>
      </c>
      <c r="C101">
        <v>635.35784243000001</v>
      </c>
      <c r="D101">
        <v>1</v>
      </c>
    </row>
    <row r="102" spans="1:4" x14ac:dyDescent="0.25">
      <c r="A102" t="s">
        <v>282</v>
      </c>
      <c r="B102" s="149">
        <v>41689</v>
      </c>
      <c r="C102">
        <v>10314.608568510001</v>
      </c>
      <c r="D102">
        <v>1</v>
      </c>
    </row>
    <row r="103" spans="1:4" x14ac:dyDescent="0.25">
      <c r="A103" t="s">
        <v>283</v>
      </c>
      <c r="B103" s="149">
        <v>42520</v>
      </c>
      <c r="C103">
        <v>335.45749834999998</v>
      </c>
      <c r="D103">
        <v>1</v>
      </c>
    </row>
    <row r="104" spans="1:4" x14ac:dyDescent="0.25">
      <c r="A104" t="s">
        <v>284</v>
      </c>
      <c r="B104" s="149">
        <v>41893</v>
      </c>
      <c r="C104">
        <v>83071.234493240001</v>
      </c>
      <c r="D104">
        <v>1</v>
      </c>
    </row>
    <row r="105" spans="1:4" x14ac:dyDescent="0.25">
      <c r="A105" t="s">
        <v>285</v>
      </c>
      <c r="B105" s="149">
        <v>42460</v>
      </c>
      <c r="C105">
        <v>664.66121383999996</v>
      </c>
      <c r="D105">
        <v>1</v>
      </c>
    </row>
    <row r="106" spans="1:4" x14ac:dyDescent="0.25">
      <c r="A106" t="s">
        <v>286</v>
      </c>
      <c r="B106" s="149">
        <v>38840</v>
      </c>
      <c r="C106">
        <v>2905.13</v>
      </c>
      <c r="D106">
        <v>1</v>
      </c>
    </row>
    <row r="107" spans="1:4" x14ac:dyDescent="0.25">
      <c r="A107" t="s">
        <v>287</v>
      </c>
      <c r="B107" s="149">
        <v>42312</v>
      </c>
      <c r="C107">
        <v>1204.3085317499999</v>
      </c>
      <c r="D107">
        <v>1</v>
      </c>
    </row>
    <row r="108" spans="1:4" x14ac:dyDescent="0.25">
      <c r="A108" t="s">
        <v>288</v>
      </c>
      <c r="B108" s="149">
        <v>42521</v>
      </c>
      <c r="C108">
        <v>12393.618495070001</v>
      </c>
      <c r="D108">
        <v>1</v>
      </c>
    </row>
    <row r="109" spans="1:4" x14ac:dyDescent="0.25">
      <c r="A109" t="s">
        <v>289</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290</v>
      </c>
      <c r="B112" s="149">
        <v>42117</v>
      </c>
      <c r="C112">
        <v>12915.166717239999</v>
      </c>
      <c r="D112">
        <v>1</v>
      </c>
    </row>
    <row r="113" spans="1:4" x14ac:dyDescent="0.25">
      <c r="A113" t="s">
        <v>291</v>
      </c>
      <c r="B113" s="149">
        <v>42030</v>
      </c>
      <c r="C113">
        <v>42581.471937620001</v>
      </c>
      <c r="D113">
        <v>1</v>
      </c>
    </row>
    <row r="114" spans="1:4" x14ac:dyDescent="0.25">
      <c r="A114" t="s">
        <v>292</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75</v>
      </c>
      <c r="B118" s="149">
        <v>42520</v>
      </c>
      <c r="C118">
        <v>82900.72771716</v>
      </c>
      <c r="D118">
        <v>1</v>
      </c>
    </row>
    <row r="119" spans="1:4" x14ac:dyDescent="0.25">
      <c r="A119" t="s">
        <v>293</v>
      </c>
      <c r="B119" s="149">
        <v>42464</v>
      </c>
      <c r="C119">
        <v>10970.434713459999</v>
      </c>
      <c r="D119">
        <v>1</v>
      </c>
    </row>
    <row r="120" spans="1:4" x14ac:dyDescent="0.25">
      <c r="A120" t="s">
        <v>294</v>
      </c>
      <c r="B120" s="149">
        <v>42104</v>
      </c>
      <c r="C120">
        <v>8893.6030994499997</v>
      </c>
      <c r="D120">
        <v>1</v>
      </c>
    </row>
    <row r="121" spans="1:4" x14ac:dyDescent="0.25">
      <c r="A121" t="s">
        <v>84</v>
      </c>
      <c r="B121" s="149">
        <v>41893</v>
      </c>
      <c r="C121">
        <v>95446.135778840006</v>
      </c>
      <c r="D121">
        <v>1</v>
      </c>
    </row>
    <row r="122" spans="1:4" x14ac:dyDescent="0.25">
      <c r="A122" t="s">
        <v>76</v>
      </c>
      <c r="B122" s="149">
        <v>42528</v>
      </c>
      <c r="C122">
        <v>19012.164133769998</v>
      </c>
      <c r="D122">
        <v>1</v>
      </c>
    </row>
    <row r="123" spans="1:4" x14ac:dyDescent="0.25">
      <c r="A123" t="s">
        <v>295</v>
      </c>
      <c r="B123" s="149">
        <v>42521</v>
      </c>
      <c r="C123">
        <v>502.95199658000001</v>
      </c>
      <c r="D123">
        <v>1</v>
      </c>
    </row>
    <row r="124" spans="1:4" x14ac:dyDescent="0.25">
      <c r="A124" t="s">
        <v>82</v>
      </c>
      <c r="B124" s="149">
        <v>41887</v>
      </c>
      <c r="C124">
        <v>12367.595227940001</v>
      </c>
      <c r="D124">
        <v>1</v>
      </c>
    </row>
    <row r="125" spans="1:4" x14ac:dyDescent="0.25">
      <c r="A125" t="s">
        <v>296</v>
      </c>
      <c r="B125" s="149">
        <v>42129</v>
      </c>
      <c r="C125">
        <v>6745.1506683999996</v>
      </c>
      <c r="D125">
        <v>1</v>
      </c>
    </row>
    <row r="126" spans="1:4" x14ac:dyDescent="0.25">
      <c r="A126" t="s">
        <v>78</v>
      </c>
      <c r="B126" s="149">
        <v>42117</v>
      </c>
      <c r="C126">
        <v>46982.462386940002</v>
      </c>
      <c r="D126">
        <v>1</v>
      </c>
    </row>
    <row r="127" spans="1:4" x14ac:dyDescent="0.25">
      <c r="A127" t="s">
        <v>80</v>
      </c>
      <c r="B127" s="149">
        <v>42222</v>
      </c>
      <c r="C127">
        <v>71088.506129760004</v>
      </c>
      <c r="D127">
        <v>1</v>
      </c>
    </row>
    <row r="128" spans="1:4" x14ac:dyDescent="0.25">
      <c r="A128" t="s">
        <v>297</v>
      </c>
      <c r="B128" s="149">
        <v>42118</v>
      </c>
      <c r="C128">
        <v>9587.6273460499997</v>
      </c>
      <c r="D128">
        <v>1</v>
      </c>
    </row>
    <row r="129" spans="1:4" x14ac:dyDescent="0.25">
      <c r="A129" t="s">
        <v>298</v>
      </c>
      <c r="B129" s="149">
        <v>42066</v>
      </c>
      <c r="C129">
        <v>2714.9080461899998</v>
      </c>
      <c r="D129">
        <v>1</v>
      </c>
    </row>
    <row r="130" spans="1:4" x14ac:dyDescent="0.25">
      <c r="A130" t="s">
        <v>299</v>
      </c>
      <c r="B130" s="149">
        <v>41887</v>
      </c>
      <c r="C130">
        <v>417.67220522999997</v>
      </c>
      <c r="D130">
        <v>1</v>
      </c>
    </row>
    <row r="131" spans="1:4" x14ac:dyDescent="0.25">
      <c r="A131" t="s">
        <v>300</v>
      </c>
      <c r="B131" s="149">
        <v>42117</v>
      </c>
      <c r="C131">
        <v>8514.8808759999993</v>
      </c>
      <c r="D131">
        <v>1</v>
      </c>
    </row>
    <row r="132" spans="1:4" x14ac:dyDescent="0.25">
      <c r="A132" t="s">
        <v>301</v>
      </c>
      <c r="B132" s="149">
        <v>42479</v>
      </c>
      <c r="C132">
        <v>63458.417149059998</v>
      </c>
      <c r="D132">
        <v>1</v>
      </c>
    </row>
    <row r="133" spans="1:4" x14ac:dyDescent="0.25">
      <c r="A133" t="s">
        <v>302</v>
      </c>
      <c r="B133" s="149">
        <v>42110</v>
      </c>
      <c r="C133">
        <v>45023.057854029998</v>
      </c>
      <c r="D133">
        <v>1</v>
      </c>
    </row>
    <row r="134" spans="1:4" x14ac:dyDescent="0.25">
      <c r="A134" t="s">
        <v>303</v>
      </c>
      <c r="B134" s="149">
        <v>42374</v>
      </c>
      <c r="C134">
        <v>1792.3439825099999</v>
      </c>
      <c r="D134">
        <v>1</v>
      </c>
    </row>
    <row r="135" spans="1:4" x14ac:dyDescent="0.25">
      <c r="A135" t="s">
        <v>170</v>
      </c>
      <c r="B135" s="149">
        <v>42303</v>
      </c>
      <c r="C135">
        <v>1035.8389392900001</v>
      </c>
      <c r="D135">
        <v>1</v>
      </c>
    </row>
    <row r="136" spans="1:4" x14ac:dyDescent="0.25">
      <c r="A136" t="s">
        <v>304</v>
      </c>
      <c r="B136" s="149">
        <v>39209</v>
      </c>
      <c r="C136">
        <v>910.48</v>
      </c>
      <c r="D136">
        <v>1</v>
      </c>
    </row>
    <row r="137" spans="1:4" x14ac:dyDescent="0.25">
      <c r="A137" t="s">
        <v>305</v>
      </c>
      <c r="B137" s="149">
        <v>42334</v>
      </c>
      <c r="C137">
        <v>5012.4318484900004</v>
      </c>
      <c r="D137">
        <v>1</v>
      </c>
    </row>
    <row r="138" spans="1:4" x14ac:dyDescent="0.25">
      <c r="A138" t="s">
        <v>306</v>
      </c>
      <c r="B138" s="149">
        <v>42520</v>
      </c>
      <c r="C138">
        <v>5225.9532321799998</v>
      </c>
      <c r="D138">
        <v>1</v>
      </c>
    </row>
    <row r="139" spans="1:4" x14ac:dyDescent="0.25">
      <c r="A139" t="s">
        <v>307</v>
      </c>
      <c r="B139" s="149">
        <v>42222</v>
      </c>
      <c r="C139">
        <v>1524.0086971600001</v>
      </c>
      <c r="D139">
        <v>1</v>
      </c>
    </row>
    <row r="140" spans="1:4" x14ac:dyDescent="0.25">
      <c r="A140" t="s">
        <v>308</v>
      </c>
      <c r="B140" s="149">
        <v>41492</v>
      </c>
      <c r="C140">
        <v>4293.55</v>
      </c>
      <c r="D140">
        <v>1</v>
      </c>
    </row>
    <row r="141" spans="1:4" x14ac:dyDescent="0.25">
      <c r="A141" t="s">
        <v>309</v>
      </c>
      <c r="B141" s="149">
        <v>41849</v>
      </c>
      <c r="C141">
        <v>92.959638409999997</v>
      </c>
      <c r="D141">
        <v>1</v>
      </c>
    </row>
    <row r="142" spans="1:4" x14ac:dyDescent="0.25">
      <c r="A142" t="s">
        <v>310</v>
      </c>
      <c r="B142" s="149">
        <v>41901</v>
      </c>
      <c r="C142">
        <v>131.8028965</v>
      </c>
      <c r="D142">
        <v>1</v>
      </c>
    </row>
    <row r="143" spans="1:4" x14ac:dyDescent="0.25">
      <c r="A143" t="s">
        <v>311</v>
      </c>
      <c r="B143" s="149">
        <v>41901</v>
      </c>
      <c r="C143">
        <v>76.32416241</v>
      </c>
      <c r="D143">
        <v>1</v>
      </c>
    </row>
    <row r="144" spans="1:4" x14ac:dyDescent="0.25">
      <c r="A144" t="s">
        <v>312</v>
      </c>
      <c r="B144" s="149">
        <v>41912</v>
      </c>
      <c r="C144">
        <v>106.4349371</v>
      </c>
      <c r="D144">
        <v>1</v>
      </c>
    </row>
    <row r="145" spans="1:4" x14ac:dyDescent="0.25">
      <c r="A145" t="s">
        <v>313</v>
      </c>
      <c r="B145" s="149">
        <v>42312</v>
      </c>
      <c r="C145">
        <v>49081.0138716</v>
      </c>
      <c r="D145">
        <v>1</v>
      </c>
    </row>
    <row r="146" spans="1:4" x14ac:dyDescent="0.25">
      <c r="A146" t="s">
        <v>314</v>
      </c>
      <c r="B146" s="149">
        <v>41849</v>
      </c>
      <c r="C146">
        <v>4781.8624027899996</v>
      </c>
      <c r="D146">
        <v>1</v>
      </c>
    </row>
    <row r="147" spans="1:4" x14ac:dyDescent="0.25">
      <c r="A147" t="s">
        <v>315</v>
      </c>
      <c r="B147" s="149">
        <v>42118</v>
      </c>
      <c r="C147">
        <v>55188.336977819999</v>
      </c>
      <c r="D147">
        <v>1</v>
      </c>
    </row>
    <row r="148" spans="1:4" x14ac:dyDescent="0.25">
      <c r="A148" t="s">
        <v>316</v>
      </c>
      <c r="B148" s="149">
        <v>42118</v>
      </c>
      <c r="C148">
        <v>12381.899096659999</v>
      </c>
      <c r="D148">
        <v>1</v>
      </c>
    </row>
    <row r="149" spans="1:4" x14ac:dyDescent="0.25">
      <c r="A149" t="s">
        <v>317</v>
      </c>
      <c r="B149" s="149">
        <v>41065</v>
      </c>
      <c r="C149">
        <v>1120.92</v>
      </c>
      <c r="D149">
        <v>1</v>
      </c>
    </row>
    <row r="150" spans="1:4" x14ac:dyDescent="0.25">
      <c r="A150" t="s">
        <v>318</v>
      </c>
      <c r="B150" s="149">
        <v>42122</v>
      </c>
      <c r="C150">
        <v>10462.682748179999</v>
      </c>
      <c r="D150">
        <v>1</v>
      </c>
    </row>
    <row r="151" spans="1:4" x14ac:dyDescent="0.25">
      <c r="A151" t="s">
        <v>319</v>
      </c>
      <c r="B151" s="149">
        <v>41849</v>
      </c>
      <c r="C151">
        <v>4482.8823280400002</v>
      </c>
      <c r="D151">
        <v>1</v>
      </c>
    </row>
    <row r="152" spans="1:4" x14ac:dyDescent="0.25">
      <c r="A152" t="s">
        <v>320</v>
      </c>
      <c r="B152" s="149">
        <v>42118</v>
      </c>
      <c r="C152">
        <v>11199.97726648</v>
      </c>
      <c r="D152">
        <v>1</v>
      </c>
    </row>
    <row r="153" spans="1:4" x14ac:dyDescent="0.25">
      <c r="A153" t="s">
        <v>321</v>
      </c>
      <c r="B153" s="149">
        <v>42195</v>
      </c>
      <c r="C153">
        <v>28365.040000000001</v>
      </c>
      <c r="D153">
        <v>1</v>
      </c>
    </row>
    <row r="154" spans="1:4" x14ac:dyDescent="0.25">
      <c r="A154" t="s">
        <v>322</v>
      </c>
      <c r="B154" s="149">
        <v>41967</v>
      </c>
      <c r="C154">
        <v>9721.7199999999993</v>
      </c>
      <c r="D154">
        <v>1</v>
      </c>
    </row>
    <row r="155" spans="1:4" x14ac:dyDescent="0.25">
      <c r="A155" t="s">
        <v>323</v>
      </c>
      <c r="B155" s="149">
        <v>42520</v>
      </c>
      <c r="C155">
        <v>13679.58</v>
      </c>
      <c r="D155">
        <v>1</v>
      </c>
    </row>
    <row r="156" spans="1:4" x14ac:dyDescent="0.25">
      <c r="A156" t="s">
        <v>324</v>
      </c>
      <c r="B156" s="149">
        <v>41929</v>
      </c>
      <c r="C156">
        <v>4841.3999999999996</v>
      </c>
      <c r="D156">
        <v>1</v>
      </c>
    </row>
    <row r="157" spans="1:4" x14ac:dyDescent="0.25">
      <c r="A157" t="s">
        <v>325</v>
      </c>
      <c r="B157" s="149">
        <v>41904</v>
      </c>
      <c r="C157">
        <v>4959.92</v>
      </c>
      <c r="D157">
        <v>1</v>
      </c>
    </row>
    <row r="158" spans="1:4" x14ac:dyDescent="0.25">
      <c r="A158" t="s">
        <v>326</v>
      </c>
      <c r="B158" s="149">
        <v>41904</v>
      </c>
      <c r="C158">
        <v>5684.71</v>
      </c>
      <c r="D158">
        <v>1</v>
      </c>
    </row>
    <row r="159" spans="1:4" x14ac:dyDescent="0.25">
      <c r="A159" t="s">
        <v>327</v>
      </c>
      <c r="B159" s="149">
        <v>42544</v>
      </c>
      <c r="C159">
        <v>20622.150000000001</v>
      </c>
      <c r="D159">
        <v>1</v>
      </c>
    </row>
    <row r="160" spans="1:4" x14ac:dyDescent="0.25">
      <c r="A160" t="s">
        <v>328</v>
      </c>
      <c r="B160" s="149">
        <v>41904</v>
      </c>
      <c r="C160">
        <v>4598.12</v>
      </c>
      <c r="D160">
        <v>1</v>
      </c>
    </row>
    <row r="161" spans="1:4" x14ac:dyDescent="0.25">
      <c r="A161" t="s">
        <v>329</v>
      </c>
      <c r="B161" s="149">
        <v>42146</v>
      </c>
      <c r="C161">
        <v>12996.36</v>
      </c>
      <c r="D161">
        <v>1</v>
      </c>
    </row>
    <row r="162" spans="1:4" x14ac:dyDescent="0.25">
      <c r="A162" t="s">
        <v>330</v>
      </c>
      <c r="B162" s="149">
        <v>41964</v>
      </c>
      <c r="C162">
        <v>7319.54</v>
      </c>
      <c r="D162">
        <v>1</v>
      </c>
    </row>
    <row r="163" spans="1:4" x14ac:dyDescent="0.25">
      <c r="A163" t="s">
        <v>331</v>
      </c>
      <c r="B163" s="149">
        <v>42193</v>
      </c>
      <c r="C163">
        <v>9363.98</v>
      </c>
      <c r="D163">
        <v>1</v>
      </c>
    </row>
    <row r="164" spans="1:4" x14ac:dyDescent="0.25">
      <c r="A164" t="s">
        <v>332</v>
      </c>
      <c r="B164" s="149">
        <v>41948</v>
      </c>
      <c r="C164">
        <v>15682.48</v>
      </c>
      <c r="D164">
        <v>1</v>
      </c>
    </row>
    <row r="165" spans="1:4" x14ac:dyDescent="0.25">
      <c r="A165" t="s">
        <v>333</v>
      </c>
      <c r="B165" s="149">
        <v>42520</v>
      </c>
      <c r="C165">
        <v>31469.57</v>
      </c>
      <c r="D165">
        <v>1</v>
      </c>
    </row>
    <row r="166" spans="1:4" x14ac:dyDescent="0.25">
      <c r="A166" t="s">
        <v>334</v>
      </c>
      <c r="B166" s="149">
        <v>42038</v>
      </c>
      <c r="C166">
        <v>14969.07</v>
      </c>
      <c r="D166">
        <v>1</v>
      </c>
    </row>
    <row r="167" spans="1:4" x14ac:dyDescent="0.25">
      <c r="A167" t="s">
        <v>335</v>
      </c>
      <c r="B167" s="149">
        <v>42460</v>
      </c>
      <c r="C167">
        <v>25683.33</v>
      </c>
      <c r="D167">
        <v>1</v>
      </c>
    </row>
    <row r="168" spans="1:4" x14ac:dyDescent="0.25">
      <c r="A168" t="s">
        <v>336</v>
      </c>
      <c r="B168" s="149">
        <v>42312</v>
      </c>
      <c r="C168">
        <v>46535.96</v>
      </c>
      <c r="D168">
        <v>1</v>
      </c>
    </row>
    <row r="169" spans="1:4" x14ac:dyDescent="0.25">
      <c r="A169" t="s">
        <v>337</v>
      </c>
      <c r="B169" s="149">
        <v>42521</v>
      </c>
      <c r="C169">
        <v>12168.93</v>
      </c>
      <c r="D169">
        <v>1</v>
      </c>
    </row>
    <row r="170" spans="1:4" x14ac:dyDescent="0.25">
      <c r="A170" t="s">
        <v>338</v>
      </c>
      <c r="B170" s="149">
        <v>42117</v>
      </c>
      <c r="C170">
        <v>27409.74</v>
      </c>
      <c r="D170">
        <v>1</v>
      </c>
    </row>
    <row r="171" spans="1:4" x14ac:dyDescent="0.25">
      <c r="A171" t="s">
        <v>339</v>
      </c>
      <c r="B171" s="149">
        <v>42030</v>
      </c>
      <c r="C171">
        <v>36618.99</v>
      </c>
      <c r="D171">
        <v>1</v>
      </c>
    </row>
    <row r="172" spans="1:4" x14ac:dyDescent="0.25">
      <c r="A172" t="s">
        <v>340</v>
      </c>
      <c r="B172" s="149">
        <v>42464</v>
      </c>
      <c r="C172">
        <v>28528.71</v>
      </c>
      <c r="D172">
        <v>1</v>
      </c>
    </row>
    <row r="173" spans="1:4" x14ac:dyDescent="0.25">
      <c r="A173" t="s">
        <v>341</v>
      </c>
      <c r="B173" s="149">
        <v>42104</v>
      </c>
      <c r="C173">
        <v>15204.51</v>
      </c>
      <c r="D173">
        <v>1</v>
      </c>
    </row>
    <row r="174" spans="1:4" x14ac:dyDescent="0.25">
      <c r="A174" t="s">
        <v>342</v>
      </c>
      <c r="B174" s="149">
        <v>42521</v>
      </c>
      <c r="C174">
        <v>69210.02</v>
      </c>
      <c r="D174">
        <v>1</v>
      </c>
    </row>
    <row r="175" spans="1:4" x14ac:dyDescent="0.25">
      <c r="A175" t="s">
        <v>343</v>
      </c>
      <c r="B175" s="149">
        <v>42129</v>
      </c>
      <c r="C175">
        <v>9003.7099999999991</v>
      </c>
      <c r="D175">
        <v>1</v>
      </c>
    </row>
    <row r="176" spans="1:4" x14ac:dyDescent="0.25">
      <c r="A176" t="s">
        <v>344</v>
      </c>
      <c r="B176" s="149">
        <v>42066</v>
      </c>
      <c r="C176">
        <v>7949.83</v>
      </c>
      <c r="D176">
        <v>1</v>
      </c>
    </row>
    <row r="177" spans="1:4" x14ac:dyDescent="0.25">
      <c r="A177" t="s">
        <v>345</v>
      </c>
      <c r="B177" s="149">
        <v>42122</v>
      </c>
      <c r="C177">
        <v>15553.66</v>
      </c>
      <c r="D177">
        <v>1</v>
      </c>
    </row>
    <row r="178" spans="1:4" x14ac:dyDescent="0.25">
      <c r="A178" t="s">
        <v>346</v>
      </c>
      <c r="B178" s="149">
        <v>42117</v>
      </c>
      <c r="C178">
        <v>11507.83</v>
      </c>
      <c r="D178">
        <v>1</v>
      </c>
    </row>
    <row r="179" spans="1:4" x14ac:dyDescent="0.25">
      <c r="A179" t="s">
        <v>347</v>
      </c>
      <c r="B179" s="149">
        <v>42479</v>
      </c>
      <c r="C179">
        <v>14993.59</v>
      </c>
      <c r="D179">
        <v>1</v>
      </c>
    </row>
    <row r="180" spans="1:4" x14ac:dyDescent="0.25">
      <c r="A180" t="s">
        <v>348</v>
      </c>
      <c r="B180" s="149">
        <v>42104</v>
      </c>
      <c r="C180">
        <v>14152.32</v>
      </c>
      <c r="D180">
        <v>1</v>
      </c>
    </row>
    <row r="181" spans="1:4" x14ac:dyDescent="0.25">
      <c r="A181" t="s">
        <v>349</v>
      </c>
      <c r="B181" s="149">
        <v>42374</v>
      </c>
      <c r="C181">
        <v>13453.03</v>
      </c>
      <c r="D181">
        <v>1</v>
      </c>
    </row>
    <row r="182" spans="1:4" x14ac:dyDescent="0.25">
      <c r="A182" t="s">
        <v>350</v>
      </c>
      <c r="B182" s="149">
        <v>42303</v>
      </c>
      <c r="C182">
        <v>7915.02</v>
      </c>
      <c r="D182">
        <v>1</v>
      </c>
    </row>
    <row r="183" spans="1:4" x14ac:dyDescent="0.25">
      <c r="A183" t="s">
        <v>351</v>
      </c>
      <c r="B183" s="149">
        <v>42310</v>
      </c>
      <c r="C183">
        <v>11222.21</v>
      </c>
      <c r="D183">
        <v>1</v>
      </c>
    </row>
    <row r="184" spans="1:4" x14ac:dyDescent="0.25">
      <c r="A184" t="s">
        <v>352</v>
      </c>
      <c r="B184" s="149">
        <v>42520</v>
      </c>
      <c r="C184">
        <v>11861.15</v>
      </c>
      <c r="D184">
        <v>1</v>
      </c>
    </row>
    <row r="185" spans="1:4" x14ac:dyDescent="0.25">
      <c r="A185" t="s">
        <v>353</v>
      </c>
      <c r="B185" s="149">
        <v>42222</v>
      </c>
      <c r="C185">
        <v>28083.96</v>
      </c>
      <c r="D185">
        <v>1</v>
      </c>
    </row>
    <row r="186" spans="1:4" x14ac:dyDescent="0.25">
      <c r="A186" t="s">
        <v>354</v>
      </c>
      <c r="B186" s="149">
        <v>41947</v>
      </c>
      <c r="C186">
        <v>7127.6</v>
      </c>
      <c r="D186">
        <v>1</v>
      </c>
    </row>
    <row r="187" spans="1:4" x14ac:dyDescent="0.25">
      <c r="A187" t="s">
        <v>355</v>
      </c>
      <c r="B187" s="149">
        <v>42195</v>
      </c>
      <c r="C187">
        <v>28365.040000000001</v>
      </c>
      <c r="D187">
        <v>1</v>
      </c>
    </row>
    <row r="188" spans="1:4" x14ac:dyDescent="0.25">
      <c r="A188" t="s">
        <v>356</v>
      </c>
      <c r="B188" s="149">
        <v>41904</v>
      </c>
      <c r="C188">
        <v>5480.24</v>
      </c>
      <c r="D188">
        <v>1</v>
      </c>
    </row>
    <row r="189" spans="1:4" x14ac:dyDescent="0.25">
      <c r="A189" t="s">
        <v>357</v>
      </c>
      <c r="B189" s="149">
        <v>42054</v>
      </c>
      <c r="C189">
        <v>10874.67</v>
      </c>
      <c r="D189">
        <v>1</v>
      </c>
    </row>
    <row r="190" spans="1:4" x14ac:dyDescent="0.25">
      <c r="A190" t="s">
        <v>358</v>
      </c>
      <c r="B190" s="149">
        <v>42520</v>
      </c>
      <c r="C190">
        <v>26408.99</v>
      </c>
      <c r="D190">
        <v>1</v>
      </c>
    </row>
    <row r="191" spans="1:4" x14ac:dyDescent="0.25">
      <c r="A191" t="s">
        <v>359</v>
      </c>
      <c r="B191" s="149">
        <v>42069</v>
      </c>
      <c r="C191">
        <v>31823.85</v>
      </c>
      <c r="D191">
        <v>1</v>
      </c>
    </row>
    <row r="192" spans="1:4" x14ac:dyDescent="0.25">
      <c r="A192" t="s">
        <v>360</v>
      </c>
      <c r="B192" s="149">
        <v>42528</v>
      </c>
      <c r="C192">
        <v>32092.58</v>
      </c>
      <c r="D192">
        <v>1</v>
      </c>
    </row>
    <row r="193" spans="1:4" x14ac:dyDescent="0.25">
      <c r="A193" t="s">
        <v>361</v>
      </c>
      <c r="B193" s="149">
        <v>42122</v>
      </c>
      <c r="C193">
        <v>13908.83</v>
      </c>
      <c r="D193">
        <v>1</v>
      </c>
    </row>
    <row r="194" spans="1:4" x14ac:dyDescent="0.25">
      <c r="A194" t="s">
        <v>362</v>
      </c>
      <c r="B194" s="149">
        <v>42117</v>
      </c>
      <c r="C194">
        <v>11227.41</v>
      </c>
      <c r="D194">
        <v>1</v>
      </c>
    </row>
    <row r="195" spans="1:4" x14ac:dyDescent="0.25">
      <c r="A195" t="s">
        <v>363</v>
      </c>
      <c r="B195" s="149">
        <v>42222</v>
      </c>
      <c r="C195">
        <v>26117.47</v>
      </c>
      <c r="D195">
        <v>1</v>
      </c>
    </row>
    <row r="196" spans="1:4" x14ac:dyDescent="0.25">
      <c r="A196" t="s">
        <v>364</v>
      </c>
      <c r="B196" s="149">
        <v>41904</v>
      </c>
      <c r="C196">
        <v>6904.09</v>
      </c>
      <c r="D196">
        <v>1</v>
      </c>
    </row>
    <row r="197" spans="1:4" x14ac:dyDescent="0.25">
      <c r="A197" t="s">
        <v>365</v>
      </c>
      <c r="B197" s="149">
        <v>42528</v>
      </c>
      <c r="C197">
        <v>20097.04</v>
      </c>
      <c r="D197">
        <v>1</v>
      </c>
    </row>
    <row r="198" spans="1:4" x14ac:dyDescent="0.25">
      <c r="A198" t="s">
        <v>366</v>
      </c>
      <c r="B198" s="149">
        <v>42118</v>
      </c>
      <c r="C198">
        <v>14632.12</v>
      </c>
      <c r="D198">
        <v>1</v>
      </c>
    </row>
    <row r="199" spans="1:4" x14ac:dyDescent="0.25">
      <c r="A199" t="s">
        <v>367</v>
      </c>
      <c r="B199" s="149">
        <v>42118</v>
      </c>
      <c r="C199">
        <v>17815.8</v>
      </c>
      <c r="D199">
        <v>1</v>
      </c>
    </row>
    <row r="200" spans="1:4" x14ac:dyDescent="0.25">
      <c r="A200" t="s">
        <v>368</v>
      </c>
      <c r="B200" s="149">
        <v>41904</v>
      </c>
      <c r="C200">
        <v>6817.36</v>
      </c>
      <c r="D200">
        <v>1</v>
      </c>
    </row>
    <row r="201" spans="1:4" x14ac:dyDescent="0.25">
      <c r="A201" t="s">
        <v>369</v>
      </c>
      <c r="B201" s="149">
        <v>42528</v>
      </c>
      <c r="C201">
        <v>18335.7</v>
      </c>
      <c r="D201">
        <v>1</v>
      </c>
    </row>
    <row r="202" spans="1:4" x14ac:dyDescent="0.25">
      <c r="A202" t="s">
        <v>370</v>
      </c>
      <c r="B202" s="149">
        <v>42117</v>
      </c>
      <c r="C202">
        <v>14678.45</v>
      </c>
      <c r="D202">
        <v>1</v>
      </c>
    </row>
    <row r="203" spans="1:4" x14ac:dyDescent="0.25">
      <c r="A203" t="s">
        <v>371</v>
      </c>
      <c r="B203" s="149">
        <v>42118</v>
      </c>
      <c r="C203">
        <v>16848.27</v>
      </c>
      <c r="D203">
        <v>1</v>
      </c>
    </row>
    <row r="204" spans="1:4" x14ac:dyDescent="0.25">
      <c r="A204" t="s">
        <v>372</v>
      </c>
      <c r="B204" s="149">
        <v>42328</v>
      </c>
      <c r="C204">
        <v>35615.594782250002</v>
      </c>
      <c r="D204">
        <v>1</v>
      </c>
    </row>
    <row r="205" spans="1:4" x14ac:dyDescent="0.25">
      <c r="A205" t="s">
        <v>373</v>
      </c>
      <c r="B205" s="149">
        <v>37469</v>
      </c>
      <c r="C205">
        <v>394.88</v>
      </c>
      <c r="D205">
        <v>1</v>
      </c>
    </row>
    <row r="206" spans="1:4" x14ac:dyDescent="0.25">
      <c r="A206" t="s">
        <v>374</v>
      </c>
      <c r="B206" s="149">
        <v>37469</v>
      </c>
      <c r="C206">
        <v>394.88</v>
      </c>
      <c r="D206">
        <v>1</v>
      </c>
    </row>
    <row r="207" spans="1:4" x14ac:dyDescent="0.25">
      <c r="A207" t="s">
        <v>375</v>
      </c>
      <c r="B207" s="149">
        <v>38665</v>
      </c>
      <c r="C207">
        <v>225.62</v>
      </c>
      <c r="D207">
        <v>1</v>
      </c>
    </row>
    <row r="208" spans="1:4" x14ac:dyDescent="0.25">
      <c r="A208" t="s">
        <v>376</v>
      </c>
      <c r="B208" s="149">
        <v>38665</v>
      </c>
      <c r="C208">
        <v>225.62</v>
      </c>
      <c r="D208">
        <v>1</v>
      </c>
    </row>
    <row r="209" spans="1:4" x14ac:dyDescent="0.25">
      <c r="A209" t="s">
        <v>377</v>
      </c>
      <c r="B209" s="149">
        <v>38624</v>
      </c>
      <c r="C209">
        <v>173.45</v>
      </c>
      <c r="D209">
        <v>1</v>
      </c>
    </row>
    <row r="210" spans="1:4" x14ac:dyDescent="0.25">
      <c r="A210" t="s">
        <v>378</v>
      </c>
      <c r="B210" s="149">
        <v>38624</v>
      </c>
      <c r="C210">
        <v>173.45</v>
      </c>
      <c r="D210">
        <v>1</v>
      </c>
    </row>
    <row r="211" spans="1:4" x14ac:dyDescent="0.25">
      <c r="A211" t="s">
        <v>379</v>
      </c>
      <c r="B211" s="149">
        <v>38027</v>
      </c>
      <c r="C211">
        <v>108.65</v>
      </c>
      <c r="D211">
        <v>1</v>
      </c>
    </row>
    <row r="212" spans="1:4" x14ac:dyDescent="0.25">
      <c r="A212" t="s">
        <v>380</v>
      </c>
      <c r="B212" s="149">
        <v>37757</v>
      </c>
      <c r="C212">
        <v>125</v>
      </c>
      <c r="D212">
        <v>1</v>
      </c>
    </row>
    <row r="213" spans="1:4" x14ac:dyDescent="0.25">
      <c r="A213" t="s">
        <v>381</v>
      </c>
      <c r="B213" s="149">
        <v>38006</v>
      </c>
      <c r="C213">
        <v>106.83</v>
      </c>
      <c r="D213">
        <v>1</v>
      </c>
    </row>
    <row r="214" spans="1:4" x14ac:dyDescent="0.25">
      <c r="A214" t="s">
        <v>382</v>
      </c>
      <c r="B214" s="149">
        <v>38715</v>
      </c>
      <c r="C214">
        <v>508.88</v>
      </c>
      <c r="D214">
        <v>1</v>
      </c>
    </row>
    <row r="215" spans="1:4" x14ac:dyDescent="0.25">
      <c r="A215" t="s">
        <v>383</v>
      </c>
      <c r="B215" s="149">
        <v>38715</v>
      </c>
      <c r="C215">
        <v>510.55</v>
      </c>
      <c r="D215">
        <v>1</v>
      </c>
    </row>
    <row r="216" spans="1:4" x14ac:dyDescent="0.25">
      <c r="A216" t="s">
        <v>384</v>
      </c>
      <c r="B216" s="149">
        <v>38260</v>
      </c>
      <c r="C216">
        <v>730.16</v>
      </c>
      <c r="D216">
        <v>1</v>
      </c>
    </row>
    <row r="217" spans="1:4" x14ac:dyDescent="0.25">
      <c r="A217" t="s">
        <v>385</v>
      </c>
      <c r="B217" s="149">
        <v>38716</v>
      </c>
      <c r="C217">
        <v>250.34</v>
      </c>
      <c r="D217">
        <v>1</v>
      </c>
    </row>
    <row r="218" spans="1:4" x14ac:dyDescent="0.25">
      <c r="A218" t="s">
        <v>386</v>
      </c>
      <c r="B218" s="149">
        <v>38716</v>
      </c>
      <c r="C218">
        <v>250.34</v>
      </c>
      <c r="D218">
        <v>1</v>
      </c>
    </row>
    <row r="219" spans="1:4" x14ac:dyDescent="0.25">
      <c r="A219" t="s">
        <v>387</v>
      </c>
      <c r="B219" s="149">
        <v>38713</v>
      </c>
      <c r="C219">
        <v>185.77</v>
      </c>
      <c r="D219">
        <v>1</v>
      </c>
    </row>
    <row r="220" spans="1:4" x14ac:dyDescent="0.25">
      <c r="A220" t="s">
        <v>388</v>
      </c>
      <c r="B220" s="149">
        <v>38713</v>
      </c>
      <c r="C220">
        <v>232.72</v>
      </c>
      <c r="D220">
        <v>1</v>
      </c>
    </row>
    <row r="221" spans="1:4" x14ac:dyDescent="0.25">
      <c r="A221" t="s">
        <v>389</v>
      </c>
      <c r="B221" s="149">
        <v>38713</v>
      </c>
      <c r="C221">
        <v>137.76</v>
      </c>
      <c r="D221">
        <v>1</v>
      </c>
    </row>
    <row r="222" spans="1:4" x14ac:dyDescent="0.25">
      <c r="A222" t="s">
        <v>390</v>
      </c>
      <c r="B222" s="149">
        <v>38713</v>
      </c>
      <c r="C222">
        <v>141.75</v>
      </c>
      <c r="D222">
        <v>1</v>
      </c>
    </row>
    <row r="223" spans="1:4" x14ac:dyDescent="0.25">
      <c r="A223" t="s">
        <v>391</v>
      </c>
      <c r="B223" s="149">
        <v>38370</v>
      </c>
      <c r="C223">
        <v>242.71</v>
      </c>
      <c r="D223">
        <v>1</v>
      </c>
    </row>
    <row r="224" spans="1:4" x14ac:dyDescent="0.25">
      <c r="A224" t="s">
        <v>392</v>
      </c>
      <c r="B224" s="149">
        <v>38706</v>
      </c>
      <c r="C224">
        <v>128.63</v>
      </c>
      <c r="D224">
        <v>1</v>
      </c>
    </row>
    <row r="225" spans="1:4" x14ac:dyDescent="0.25">
      <c r="A225" t="s">
        <v>393</v>
      </c>
      <c r="B225" s="149">
        <v>38705</v>
      </c>
      <c r="C225">
        <v>217.85</v>
      </c>
      <c r="D225">
        <v>1</v>
      </c>
    </row>
    <row r="226" spans="1:4" x14ac:dyDescent="0.25">
      <c r="A226" t="s">
        <v>394</v>
      </c>
      <c r="B226" s="149">
        <v>42129</v>
      </c>
      <c r="C226">
        <v>1211.2244297899999</v>
      </c>
      <c r="D226">
        <v>1</v>
      </c>
    </row>
    <row r="227" spans="1:4" x14ac:dyDescent="0.25">
      <c r="A227" t="s">
        <v>395</v>
      </c>
      <c r="B227" s="149">
        <v>42522</v>
      </c>
      <c r="C227">
        <v>529.22225323999999</v>
      </c>
      <c r="D227">
        <v>1</v>
      </c>
    </row>
    <row r="228" spans="1:4" x14ac:dyDescent="0.25">
      <c r="A228" t="s">
        <v>396</v>
      </c>
      <c r="B228" s="149">
        <v>39329</v>
      </c>
      <c r="C228">
        <v>321.83999999999997</v>
      </c>
      <c r="D228">
        <v>1</v>
      </c>
    </row>
    <row r="229" spans="1:4" x14ac:dyDescent="0.25">
      <c r="A229" t="s">
        <v>397</v>
      </c>
      <c r="B229" s="149">
        <v>40577</v>
      </c>
      <c r="C229">
        <v>493.46</v>
      </c>
      <c r="D229">
        <v>1</v>
      </c>
    </row>
    <row r="230" spans="1:4" x14ac:dyDescent="0.25">
      <c r="A230" t="s">
        <v>398</v>
      </c>
      <c r="B230" s="149">
        <v>39618</v>
      </c>
      <c r="C230">
        <v>303</v>
      </c>
      <c r="D230">
        <v>1</v>
      </c>
    </row>
    <row r="231" spans="1:4" x14ac:dyDescent="0.25">
      <c r="A231" t="s">
        <v>399</v>
      </c>
      <c r="B231" s="149">
        <v>39394</v>
      </c>
      <c r="C231">
        <v>363.69</v>
      </c>
      <c r="D231">
        <v>1</v>
      </c>
    </row>
    <row r="232" spans="1:4" x14ac:dyDescent="0.25">
      <c r="A232" t="s">
        <v>400</v>
      </c>
      <c r="B232" s="149">
        <v>40478</v>
      </c>
      <c r="C232">
        <v>148.34</v>
      </c>
      <c r="D232">
        <v>1</v>
      </c>
    </row>
    <row r="233" spans="1:4" x14ac:dyDescent="0.25">
      <c r="A233" t="s">
        <v>401</v>
      </c>
      <c r="B233" s="149">
        <v>42541</v>
      </c>
      <c r="C233">
        <v>1042.5</v>
      </c>
      <c r="D233">
        <v>1</v>
      </c>
    </row>
    <row r="234" spans="1:4" x14ac:dyDescent="0.25">
      <c r="A234" t="s">
        <v>402</v>
      </c>
      <c r="B234" s="149">
        <v>42227</v>
      </c>
      <c r="C234">
        <v>4757.8587041199999</v>
      </c>
      <c r="D234">
        <v>1</v>
      </c>
    </row>
    <row r="235" spans="1:4" x14ac:dyDescent="0.25">
      <c r="A235" t="s">
        <v>403</v>
      </c>
      <c r="B235" s="149">
        <v>42117</v>
      </c>
      <c r="C235">
        <v>143.21094002000001</v>
      </c>
      <c r="D235">
        <v>1</v>
      </c>
    </row>
    <row r="236" spans="1:4" x14ac:dyDescent="0.25">
      <c r="A236" t="s">
        <v>404</v>
      </c>
      <c r="B236" s="149">
        <v>39618</v>
      </c>
      <c r="C236">
        <v>562.29</v>
      </c>
      <c r="D236">
        <v>1</v>
      </c>
    </row>
    <row r="237" spans="1:4" x14ac:dyDescent="0.25">
      <c r="A237" t="s">
        <v>405</v>
      </c>
      <c r="B237" s="149">
        <v>39394</v>
      </c>
      <c r="C237">
        <v>363.69</v>
      </c>
      <c r="D237">
        <v>1</v>
      </c>
    </row>
    <row r="238" spans="1:4" x14ac:dyDescent="0.25">
      <c r="A238" t="s">
        <v>406</v>
      </c>
      <c r="B238" s="149">
        <v>42227</v>
      </c>
      <c r="C238">
        <v>4215.8333879900001</v>
      </c>
      <c r="D238">
        <v>1</v>
      </c>
    </row>
    <row r="239" spans="1:4" x14ac:dyDescent="0.25">
      <c r="A239" t="s">
        <v>407</v>
      </c>
      <c r="B239" s="149">
        <v>41277</v>
      </c>
      <c r="C239">
        <v>2807.39</v>
      </c>
      <c r="D239">
        <v>1</v>
      </c>
    </row>
    <row r="240" spans="1:4" x14ac:dyDescent="0.25">
      <c r="A240" t="s">
        <v>408</v>
      </c>
      <c r="B240" s="149">
        <v>41283</v>
      </c>
      <c r="C240">
        <v>2316.58</v>
      </c>
      <c r="D240">
        <v>1</v>
      </c>
    </row>
    <row r="241" spans="1:4" x14ac:dyDescent="0.25">
      <c r="A241" t="s">
        <v>409</v>
      </c>
      <c r="B241" s="149">
        <v>42117</v>
      </c>
      <c r="C241">
        <v>126.70832993</v>
      </c>
      <c r="D241">
        <v>1</v>
      </c>
    </row>
    <row r="242" spans="1:4" x14ac:dyDescent="0.25">
      <c r="A242" t="s">
        <v>410</v>
      </c>
      <c r="B242" s="149">
        <v>41281</v>
      </c>
      <c r="C242">
        <v>3365.22</v>
      </c>
      <c r="D242">
        <v>1</v>
      </c>
    </row>
    <row r="243" spans="1:4" x14ac:dyDescent="0.25">
      <c r="A243" t="s">
        <v>411</v>
      </c>
      <c r="B243" s="149">
        <v>42110</v>
      </c>
      <c r="C243">
        <v>522.89537319999999</v>
      </c>
      <c r="D243">
        <v>1</v>
      </c>
    </row>
    <row r="244" spans="1:4" x14ac:dyDescent="0.25">
      <c r="A244" t="s">
        <v>412</v>
      </c>
      <c r="B244" s="149">
        <v>42117</v>
      </c>
      <c r="C244">
        <v>650.14363865999997</v>
      </c>
      <c r="D244">
        <v>1</v>
      </c>
    </row>
    <row r="245" spans="1:4" x14ac:dyDescent="0.25">
      <c r="A245" t="s">
        <v>413</v>
      </c>
      <c r="B245" s="149">
        <v>42479</v>
      </c>
      <c r="C245">
        <v>517.55154836999998</v>
      </c>
      <c r="D245">
        <v>1</v>
      </c>
    </row>
    <row r="246" spans="1:4" x14ac:dyDescent="0.25">
      <c r="A246" t="s">
        <v>414</v>
      </c>
      <c r="B246" s="149">
        <v>42110</v>
      </c>
      <c r="C246">
        <v>419.85620591000003</v>
      </c>
      <c r="D246">
        <v>1</v>
      </c>
    </row>
    <row r="247" spans="1:4" x14ac:dyDescent="0.25">
      <c r="A247" t="s">
        <v>415</v>
      </c>
      <c r="B247" s="149">
        <v>41444</v>
      </c>
      <c r="C247">
        <v>1386.8</v>
      </c>
      <c r="D247">
        <v>1</v>
      </c>
    </row>
    <row r="248" spans="1:4" x14ac:dyDescent="0.25">
      <c r="A248" t="s">
        <v>416</v>
      </c>
      <c r="B248" s="149">
        <v>42030</v>
      </c>
      <c r="C248">
        <v>227.86509369000001</v>
      </c>
      <c r="D248">
        <v>1</v>
      </c>
    </row>
    <row r="249" spans="1:4" x14ac:dyDescent="0.25">
      <c r="A249" t="s">
        <v>417</v>
      </c>
      <c r="B249" s="149">
        <v>39604</v>
      </c>
      <c r="C249">
        <v>233.37</v>
      </c>
      <c r="D249">
        <v>1</v>
      </c>
    </row>
    <row r="250" spans="1:4" x14ac:dyDescent="0.25">
      <c r="A250" t="s">
        <v>418</v>
      </c>
      <c r="B250" s="149">
        <v>42339</v>
      </c>
      <c r="C250">
        <v>487.53221783999999</v>
      </c>
      <c r="D250">
        <v>1</v>
      </c>
    </row>
    <row r="251" spans="1:4" x14ac:dyDescent="0.25">
      <c r="A251" t="s">
        <v>419</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3.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2020-02-03T17:02:41Z</cp:lastPrinted>
  <dcterms:created xsi:type="dcterms:W3CDTF">2009-10-22T12:59:48Z</dcterms:created>
  <dcterms:modified xsi:type="dcterms:W3CDTF">2022-06-12T08:25:46Z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