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JuliaM\AppData\Local\Microsoft\Windows\INetCache\Content.Outlook\W1LBL5IL\"/>
    </mc:Choice>
  </mc:AlternateContent>
  <xr:revisionPtr revIDLastSave="0" documentId="13_ncr:1_{17352429-C21B-4681-84F6-06609668276B}"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H239" i="1"/>
  <c r="I239" i="1"/>
  <c r="H240" i="1"/>
  <c r="I240" i="1"/>
  <c r="H241" i="1"/>
  <c r="I241" i="1"/>
  <c r="H242" i="1"/>
  <c r="I242" i="1"/>
  <c r="H243" i="1"/>
  <c r="I243" i="1"/>
  <c r="I238" i="1"/>
  <c r="H238" i="1"/>
  <c r="H247" i="1"/>
  <c r="I247" i="1"/>
  <c r="H248" i="1"/>
  <c r="I248" i="1"/>
  <c r="H249" i="1"/>
  <c r="I249" i="1"/>
  <c r="H250" i="1"/>
  <c r="I250" i="1"/>
  <c r="H251" i="1"/>
  <c r="I251" i="1"/>
  <c r="H252" i="1"/>
  <c r="I252" i="1"/>
  <c r="H253" i="1"/>
  <c r="I253" i="1"/>
  <c r="I246" i="1"/>
  <c r="H246" i="1"/>
  <c r="H268" i="1" l="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100" i="1" l="1"/>
  <c r="E143" i="1" l="1"/>
  <c r="D145" i="1"/>
  <c r="D144" i="1"/>
  <c r="D142" i="1"/>
  <c r="D141" i="1"/>
  <c r="C145" i="1"/>
  <c r="C144" i="1"/>
  <c r="C142" i="1"/>
  <c r="B142" i="1"/>
  <c r="C141" i="1"/>
  <c r="B145" i="1"/>
  <c r="B144" i="1"/>
  <c r="B141" i="1"/>
  <c r="B155" i="1"/>
  <c r="B154"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F277" i="1"/>
  <c r="G277" i="1" s="1"/>
  <c r="F268" i="1"/>
  <c r="G268" i="1" s="1"/>
  <c r="F269" i="1"/>
  <c r="G269" i="1" s="1"/>
  <c r="F270" i="1"/>
  <c r="G270" i="1" s="1"/>
  <c r="F271" i="1"/>
  <c r="G271" i="1" s="1"/>
  <c r="F272" i="1"/>
  <c r="G272" i="1" s="1"/>
  <c r="F273" i="1"/>
  <c r="G273" i="1" s="1"/>
  <c r="F274" i="1"/>
  <c r="G274" i="1" s="1"/>
  <c r="F267" i="1"/>
  <c r="G267" i="1" s="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77" i="1"/>
  <c r="I277" i="1"/>
  <c r="D31" i="1"/>
  <c r="D30" i="1"/>
  <c r="D29" i="1"/>
  <c r="C31" i="1"/>
  <c r="C30" i="1"/>
  <c r="C29" i="1"/>
  <c r="B30" i="1"/>
  <c r="B29" i="1"/>
  <c r="C18" i="1"/>
  <c r="D18" i="1"/>
  <c r="D17" i="1"/>
  <c r="D16" i="1"/>
  <c r="C17"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<sst xmlns="http://schemas.openxmlformats.org/spreadsheetml/2006/main" count="2304" uniqueCount="725">
  <si>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</si>
  <si>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</si>
  <si>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</si>
  <si>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</si>
  <si>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</si>
  <si>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</si>
  <si>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</si>
  <si>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</si>
  <si>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</si>
  <si>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</si>
  <si>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</si>
  <si>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</si>
  <si>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</si>
  <si>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</si>
  <si>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</si>
  <si>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</si>
  <si>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</si>
  <si>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</si>
  <si>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</si>
  <si>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</si>
  <si>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</si>
  <si>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</si>
  <si>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</si>
  <si>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</si>
  <si>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</si>
  <si>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</si>
  <si>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</si>
  <si>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</si>
  <si>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</si>
  <si>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</si>
  <si>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</si>
  <si>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</si>
  <si>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</si>
  <si>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</si>
  <si>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</si>
  <si>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</si>
  <si>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</si>
  <si>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</si>
  <si>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</si>
  <si>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</si>
  <si>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</si>
  <si>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</si>
  <si>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</si>
  <si>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</si>
  <si>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</si>
  <si>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</si>
  <si>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</si>
  <si>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</si>
  <si>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</si>
  <si>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</si>
  <si>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</si>
  <si>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</si>
  <si>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</si>
  <si>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</si>
  <si>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</si>
  <si>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</si>
  <si>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</si>
  <si>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</si>
  <si>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</si>
  <si>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</si>
  <si>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</si>
  <si>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</si>
  <si>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</si>
  <si>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</si>
  <si>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</si>
  <si>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</si>
  <si>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</si>
  <si>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</si>
  <si>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</si>
  <si>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</si>
  <si>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</si>
  <si>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</si>
  <si>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</si>
  <si>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</si>
  <si>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</si>
  <si>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</si>
  <si>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</si>
  <si>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</si>
  <si>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</si>
  <si>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</si>
  <si>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</si>
  <si>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</si>
  <si>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</si>
  <si>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</si>
  <si>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</si>
  <si>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</si>
  <si>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</si>
  <si>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</si>
  <si>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</si>
  <si>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</si>
  <si>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</si>
  <si>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</si>
  <si>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</si>
  <si>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</si>
  <si>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</si>
  <si>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</si>
  <si>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</si>
  <si>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</si>
  <si>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</si>
  <si>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</si>
  <si>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</si>
  <si>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</si>
  <si>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</si>
  <si>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</si>
  <si>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</si>
  <si>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</si>
  <si>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</si>
  <si>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</si>
  <si>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</si>
  <si>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</si>
  <si>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</si>
  <si>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</si>
  <si>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</si>
  <si>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</si>
  <si>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</si>
  <si>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</si>
  <si>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</si>
  <si>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</si>
  <si>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</si>
  <si>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</si>
  <si>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</si>
  <si>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</si>
  <si>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</si>
  <si>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</si>
  <si>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</si>
  <si>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</si>
  <si>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</si>
  <si>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</si>
  <si>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</si>
  <si>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</si>
  <si>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</si>
  <si>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</si>
  <si>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</si>
  <si>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</si>
  <si>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</si>
  <si>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</si>
  <si>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</si>
  <si>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</si>
  <si>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</si>
  <si>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</si>
  <si>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</si>
  <si>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</si>
  <si>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</si>
  <si>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</si>
  <si>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</si>
  <si>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</si>
  <si>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</si>
  <si>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</si>
  <si>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</si>
  <si>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</si>
  <si>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</si>
  <si>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</si>
  <si>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</si>
  <si>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</si>
  <si>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</si>
  <si>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</si>
  <si>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</si>
  <si>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</si>
  <si>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</si>
  <si>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</si>
  <si>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</si>
  <si>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</si>
  <si>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</si>
  <si>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</si>
  <si>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</si>
  <si>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</si>
  <si>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</si>
  <si>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</si>
  <si>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</si>
  <si>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</si>
  <si>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</si>
  <si>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</si>
  <si>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</si>
  <si>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</si>
  <si>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</si>
  <si>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</si>
  <si>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</si>
  <si>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</si>
  <si>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</si>
  <si>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</si>
  <si>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</si>
  <si>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</si>
  <si>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</si>
  <si>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</si>
  <si>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</si>
  <si>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</si>
  <si>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</si>
  <si>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</si>
  <si>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</si>
  <si>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</si>
  <si>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</si>
  <si>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</si>
  <si>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</si>
  <si>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</si>
  <si>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</si>
  <si>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</si>
  <si>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</si>
  <si>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</si>
  <si>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</si>
  <si>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</si>
  <si>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</si>
  <si>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</si>
  <si>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</si>
  <si>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</si>
  <si>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</si>
  <si>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</si>
  <si>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</si>
  <si>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</si>
  <si>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</si>
  <si>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</si>
  <si>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</si>
  <si>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</si>
  <si>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</si>
  <si>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</si>
  <si>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</si>
  <si>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</si>
  <si>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</si>
  <si>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</si>
  <si>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</si>
  <si>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</si>
  <si>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</si>
  <si>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</si>
  <si>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</si>
  <si>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</si>
  <si>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</si>
  <si>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</si>
  <si>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</si>
  <si>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</si>
  <si>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</si>
  <si>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</si>
  <si>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</si>
  <si>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</si>
  <si>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</si>
  <si>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</si>
  <si>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</si>
  <si>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</si>
  <si>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</si>
  <si>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</si>
  <si>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</si>
  <si>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</si>
  <si>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</si>
  <si>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</si>
  <si>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</si>
  <si>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</si>
  <si>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</si>
  <si>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</si>
  <si>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</si>
  <si>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</si>
  <si>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</si>
  <si>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</si>
  <si>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</si>
  <si>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</si>
  <si>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</si>
  <si>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</si>
  <si>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</si>
  <si>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</si>
  <si>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</si>
  <si>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</si>
  <si>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</si>
  <si>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</si>
  <si>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</si>
  <si>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</si>
  <si>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</si>
  <si>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</si>
  <si>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</si>
  <si>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</si>
  <si>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</si>
  <si>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</si>
  <si>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</si>
  <si>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</si>
  <si>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</si>
  <si>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</si>
  <si>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</si>
  <si>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</si>
  <si>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</si>
  <si>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</si>
  <si>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</si>
  <si>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</si>
  <si>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</si>
  <si>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</si>
  <si>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</si>
  <si>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</si>
  <si>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</si>
  <si>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</si>
  <si>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</si>
  <si>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</si>
  <si>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</si>
  <si>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</si>
  <si>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</si>
  <si>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</si>
  <si>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</si>
  <si>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</si>
  <si>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</si>
  <si>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</si>
  <si>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</si>
  <si>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</si>
  <si>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</si>
  <si>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</si>
  <si>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</si>
  <si>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</si>
  <si>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</si>
  <si>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</si>
  <si>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</si>
  <si>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</si>
  <si>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</si>
  <si>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</si>
  <si>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</si>
  <si>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</si>
  <si>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</si>
  <si>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</si>
  <si>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</si>
  <si>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</si>
  <si>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</si>
  <si>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</si>
  <si>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</si>
  <si>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</si>
  <si>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</si>
  <si>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</si>
  <si>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</si>
  <si>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</si>
  <si>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</si>
  <si>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</si>
  <si>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</si>
  <si>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</si>
  <si>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</si>
  <si>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</si>
  <si>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</si>
  <si>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</si>
  <si>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</si>
  <si>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</si>
  <si>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</si>
  <si>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</si>
  <si>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</si>
  <si>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</si>
  <si>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</si>
  <si>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</si>
  <si>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</si>
  <si>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</si>
  <si>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</si>
  <si>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</si>
  <si>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</si>
  <si>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</si>
  <si>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</si>
  <si>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</si>
  <si>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</si>
  <si>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</si>
  <si>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</si>
  <si>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</si>
  <si>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</si>
  <si>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</si>
  <si>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</si>
  <si>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</si>
  <si>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</si>
  <si>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</si>
  <si>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</si>
  <si>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</si>
  <si>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</si>
  <si>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</si>
  <si>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</si>
  <si>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</si>
  <si>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</si>
  <si>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</si>
  <si>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</si>
  <si>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</si>
  <si>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</si>
  <si>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</si>
  <si>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</si>
  <si>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</si>
  <si>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</si>
  <si>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</si>
  <si>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</si>
  <si>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</si>
  <si>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</si>
  <si>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</si>
  <si>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</si>
  <si>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</si>
  <si>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</si>
  <si>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</si>
  <si>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</si>
  <si>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</si>
  <si>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</si>
  <si>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</si>
  <si>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</si>
  <si>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</si>
  <si>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</si>
  <si>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</si>
  <si>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</si>
  <si>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</si>
  <si>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</si>
  <si>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</si>
  <si>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</si>
  <si>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</si>
  <si>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</si>
  <si>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</si>
  <si>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</si>
  <si>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</si>
  <si>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</si>
  <si>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</si>
  <si>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</si>
  <si>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</si>
  <si>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</si>
  <si>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</si>
  <si>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</si>
  <si>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</si>
  <si>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</si>
  <si>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</si>
  <si>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</si>
  <si>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</si>
  <si>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</si>
  <si>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</si>
  <si>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</si>
  <si>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</si>
  <si>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</si>
  <si>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</si>
  <si>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</si>
  <si>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</si>
  <si>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</si>
  <si>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</si>
  <si>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</si>
  <si>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</si>
  <si>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</si>
  <si>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</si>
  <si>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</si>
  <si>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</si>
  <si>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</si>
  <si>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</si>
  <si>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</si>
  <si>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</si>
  <si>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</si>
  <si>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</si>
  <si>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</si>
  <si>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</si>
  <si>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</si>
  <si>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</si>
  <si>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</si>
  <si>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</si>
  <si>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</si>
  <si>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</si>
  <si>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</si>
  <si>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</si>
  <si>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</si>
  <si>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</si>
  <si>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</si>
  <si>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</si>
  <si>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</si>
  <si>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</si>
  <si>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</si>
  <si>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</si>
  <si>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</si>
  <si>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</si>
  <si>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</si>
  <si>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</si>
  <si>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</si>
  <si>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</si>
  <si>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</si>
  <si>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</si>
  <si>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</si>
  <si>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</si>
  <si>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</si>
  <si>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</si>
  <si>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</si>
  <si>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</si>
  <si>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</si>
  <si>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</si>
  <si>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</si>
  <si>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</si>
  <si>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</si>
  <si>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</si>
  <si>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</si>
  <si>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</si>
  <si>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</si>
  <si>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</si>
  <si>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</si>
  <si>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</si>
  <si>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</si>
  <si>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</si>
  <si>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</si>
  <si>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</si>
  <si>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</si>
  <si>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</si>
  <si>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</si>
  <si>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</si>
  <si>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</si>
  <si>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</si>
  <si>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</si>
  <si>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</si>
  <si>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</si>
  <si>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</si>
  <si>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</si>
  <si>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</si>
  <si>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</si>
  <si>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</si>
  <si>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</si>
  <si>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</si>
  <si>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</si>
  <si>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</si>
  <si>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</si>
  <si>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</si>
  <si>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</si>
  <si>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</si>
  <si>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</si>
  <si>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</si>
  <si>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</si>
  <si>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</si>
  <si>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</si>
  <si>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</si>
  <si>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</si>
  <si>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</si>
  <si>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</si>
  <si>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</si>
  <si>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</si>
  <si>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</si>
  <si>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</si>
  <si>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</si>
  <si>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</si>
  <si>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</si>
  <si>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</si>
  <si>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</si>
  <si>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</si>
  <si>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</si>
  <si>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</si>
  <si>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</si>
  <si>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</si>
  <si>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</si>
  <si>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</si>
  <si>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</si>
  <si>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</si>
  <si>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</si>
  <si>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</si>
  <si>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</si>
  <si>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</si>
  <si>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</si>
  <si>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</si>
  <si>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</si>
  <si>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</si>
  <si>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</si>
  <si>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</si>
  <si>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</si>
  <si>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</si>
  <si>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</si>
  <si>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</si>
  <si>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</si>
  <si>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</si>
  <si>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</si>
  <si>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</si>
  <si>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</si>
  <si>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</si>
  <si>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</si>
  <si>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</si>
  <si>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</si>
  <si>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</si>
  <si>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</si>
  <si>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</si>
  <si>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</si>
  <si>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</si>
  <si>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</si>
  <si>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</si>
  <si>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</si>
  <si>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</si>
  <si>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</si>
  <si>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</si>
  <si>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</si>
  <si>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</si>
  <si>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</si>
  <si>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</si>
  <si>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</si>
  <si>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</si>
  <si>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</si>
  <si>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</si>
  <si>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</si>
  <si>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</si>
  <si>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</si>
  <si>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</si>
  <si>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</si>
  <si>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</si>
  <si>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</si>
  <si>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</si>
  <si>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</si>
  <si>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</si>
  <si>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</si>
  <si>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</si>
  <si>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</si>
  <si>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</si>
  <si>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</si>
  <si>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</si>
  <si>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</si>
  <si>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</si>
  <si>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</si>
  <si>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</si>
  <si>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</si>
  <si>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</si>
  <si>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</si>
  <si>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</si>
  <si>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</si>
  <si>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</si>
  <si>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</si>
  <si>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</si>
  <si>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</si>
  <si>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</si>
  <si>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</si>
  <si>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</si>
  <si>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</si>
  <si>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</si>
  <si>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</si>
  <si>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</si>
  <si>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</si>
  <si>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</si>
  <si>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</si>
  <si>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</si>
  <si>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</si>
  <si>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</si>
  <si>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</si>
  <si>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</si>
  <si>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</si>
  <si>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</si>
  <si>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</si>
  <si>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</si>
  <si>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J203VOF</t>
  </si>
  <si>
    <t>J508</t>
  </si>
  <si>
    <t>JX4023</t>
  </si>
  <si>
    <t>J203VF</t>
  </si>
  <si>
    <t>J203CF</t>
  </si>
  <si>
    <t>J203DF</t>
  </si>
  <si>
    <t>JS4023</t>
  </si>
  <si>
    <t>J203LF</t>
  </si>
  <si>
    <t>J203QF</t>
  </si>
  <si>
    <t>J203SF</t>
  </si>
  <si>
    <t>JS51</t>
  </si>
  <si>
    <t>J203MF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</si>
  <si>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</si>
  <si>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</si>
  <si>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</si>
  <si>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</si>
  <si>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</si>
  <si>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</si>
  <si>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</si>
  <si>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</si>
  <si>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</si>
  <si>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</si>
  <si>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</si>
  <si>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</si>
  <si>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</si>
  <si>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</si>
  <si>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</si>
  <si>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</si>
  <si>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</si>
  <si>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</si>
  <si>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</si>
  <si>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</si>
  <si>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</si>
  <si>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</si>
  <si>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</si>
  <si>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</si>
  <si>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</si>
  <si>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</si>
  <si>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</si>
  <si>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</si>
  <si>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</si>
  <si>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</si>
  <si>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</si>
  <si>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</si>
  <si>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</si>
  <si>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</si>
  <si>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</si>
  <si>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</si>
  <si>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</si>
  <si>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</si>
  <si>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</si>
  <si>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</si>
  <si>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</si>
  <si>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 xml:space="preserve">QUANTO MAXI HARD RED WINTER WHEAT COMMODITY </t>
  </si>
  <si>
    <t>QUANTO MAXI SOFT RED WHEAT COMMODITY CAN-DO</t>
  </si>
  <si>
    <t>QUANTO MAXI SOYBEAN OIL COMMODITY CAN-DO</t>
  </si>
  <si>
    <t>YELLOW MAIZE GRADE 2 FUTURE</t>
  </si>
  <si>
    <t>BEEF CARCASS</t>
  </si>
  <si>
    <t>MainBoardCode</t>
  </si>
  <si>
    <t>TotalCompaniesListed</t>
  </si>
  <si>
    <t>NewListings</t>
  </si>
  <si>
    <t>DeListings</t>
  </si>
  <si>
    <t>LeftBoard</t>
  </si>
  <si>
    <t>JoinedBoard</t>
  </si>
  <si>
    <t>NetListed</t>
  </si>
  <si>
    <t>DomesticLisitings</t>
  </si>
  <si>
    <t>ForeignLisitings</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</si>
  <si>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</si>
  <si>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</si>
  <si>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</si>
  <si>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</si>
  <si>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</si>
  <si>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</si>
  <si>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</si>
  <si>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</si>
  <si>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</si>
  <si>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</si>
  <si>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</si>
  <si>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</si>
  <si>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</si>
  <si>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</si>
  <si>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</si>
  <si>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</si>
  <si>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</si>
  <si>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</si>
  <si>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</si>
  <si>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</si>
  <si>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</si>
  <si>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</si>
  <si>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</si>
  <si>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</si>
  <si>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</si>
  <si>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</si>
  <si>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</si>
  <si>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</si>
  <si>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2023/05</t>
  </si>
  <si>
    <t>CorporateActionTypeCode</t>
  </si>
  <si>
    <t>SUM_TotalValue</t>
  </si>
  <si>
    <t>GI</t>
  </si>
  <si>
    <t>SI</t>
  </si>
  <si>
    <t>SO</t>
  </si>
  <si>
    <t>SS</t>
  </si>
  <si>
    <t>TU</t>
  </si>
  <si>
    <t>AS</t>
  </si>
  <si>
    <t>03/2020</t>
  </si>
  <si>
    <t xml:space="preserve">                                 -     </t>
  </si>
  <si>
    <t>Position in the world league in Apr 2023 (based on the WFE statistics)</t>
  </si>
  <si>
    <t>Note: The monthly "local liquidity"  using the value traded and Strate market capitalisation is 81.29%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</si>
</sst>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5">
    <xf numFmtId="0" fontId="0" fillId="0" borderId="0" xfId="0"/>
    <xf numFmtId="0" fontId="22" fillId="0" borderId="0" xfId="0" applyFont="1"/>
    <xf numFmtId="165" fontId="0" fillId="0" borderId="0" xfId="1" applyFont="1"/>
    <xf numFmtId="166" fontId="0" fillId="0" borderId="0" xfId="1" applyNumberFormat="1" applyFont="1"/>
    <xf numFmtId="166" fontId="22"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xf numFmtId="0" fontId="26" fillId="0" borderId="0" xfId="0" applyFont="1"/>
    <xf numFmtId="17" fontId="22" fillId="0" borderId="0" xfId="0" quotePrefix="1" applyNumberFormat="1" applyFont="1" applyAlignment="1">
      <alignment horizontal="right"/>
    </xf>
    <xf numFmtId="168" fontId="25" fillId="0" borderId="0" xfId="0" applyNumberFormat="1" applyFont="1"/>
    <xf numFmtId="0" fontId="23" fillId="0" borderId="0" xfId="0" applyFont="1"/>
    <xf numFmtId="166" fontId="0" fillId="0" borderId="0" xfId="0" applyNumberFormat="1"/>
    <xf numFmtId="3" fontId="22" fillId="0" borderId="0" xfId="0" applyNumberFormat="1" applyFont="1"/>
    <xf numFmtId="0" fontId="43" fillId="0" borderId="0" xfId="0" applyFont="1"/>
    <xf numFmtId="3" fontId="0" fillId="0" borderId="0" xfId="0" applyNumberFormat="1"/>
    <xf numFmtId="165"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8" fillId="0" borderId="0" xfId="0" applyNumberFormat="1" applyFont="1"/>
    <xf numFmtId="3" fontId="19" fillId="0" borderId="0" xfId="0" applyNumberFormat="1" applyFont="1"/>
    <xf numFmtId="166" fontId="23" fillId="0" borderId="0" xfId="0" applyNumberFormat="1" applyFont="1"/>
    <xf numFmtId="166" fontId="22" fillId="0" borderId="0" xfId="0" applyNumberFormat="1" applyFont="1"/>
    <xf numFmtId="0" fontId="25" fillId="0" borderId="0" xfId="0" applyFont="1"/>
    <xf numFmtId="166" fontId="19" fillId="0" borderId="0" xfId="0" applyNumberFormat="1" applyFont="1"/>
    <xf numFmtId="167" fontId="0" fillId="0" borderId="0" xfId="0" applyNumberFormat="1"/>
    <xf numFmtId="166" fontId="27" fillId="0" borderId="0" xfId="0" applyNumberFormat="1" applyFont="1"/>
    <xf numFmtId="166" fontId="0" fillId="0" borderId="0" xfId="0" applyNumberFormat="1" applyAlignment="1">
      <alignment horizontal="right"/>
    </xf>
    <xf numFmtId="0" fontId="0" fillId="0" borderId="0" xfId="0" applyAlignment="1">
      <alignment horizontal="right"/>
    </xf>
    <xf numFmtId="0" fontId="45" fillId="0" borderId="0" xfId="0" applyFont="1"/>
    <xf numFmtId="167" fontId="23" fillId="0" borderId="0" xfId="0" applyNumberFormat="1" applyFont="1"/>
    <xf numFmtId="0" fontId="47" fillId="0" borderId="0" xfId="0" applyFont="1"/>
    <xf numFmtId="167" fontId="0" fillId="0" borderId="0" xfId="0" applyNumberFormat="1" applyAlignment="1">
      <alignment horizontal="right"/>
    </xf>
    <xf numFmtId="166" fontId="47" fillId="0" borderId="0" xfId="0" applyNumberFormat="1" applyFont="1"/>
    <xf numFmtId="166" fontId="46" fillId="0" borderId="0" xfId="0" applyNumberFormat="1" applyFont="1"/>
    <xf numFmtId="167" fontId="0" fillId="0" borderId="0" xfId="1" applyNumberFormat="1" applyFont="1"/>
    <xf numFmtId="166" fontId="18" fillId="0" borderId="0" xfId="1" applyNumberFormat="1"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0" fontId="17" fillId="0" borderId="0" xfId="0" applyFont="1"/>
    <xf numFmtId="166" fontId="16" fillId="0" borderId="0" xfId="0" applyNumberFormat="1" applyFont="1"/>
    <xf numFmtId="166" fontId="15" fillId="0" borderId="0" xfId="0" applyNumberFormat="1" applyFont="1"/>
    <xf numFmtId="166" fontId="14" fillId="0" borderId="0" xfId="0" applyNumberFormat="1" applyFont="1"/>
    <xf numFmtId="166" fontId="14" fillId="0" borderId="0" xfId="1" applyNumberFormat="1" applyFont="1"/>
    <xf numFmtId="169" fontId="44" fillId="0" borderId="0" xfId="0" applyNumberFormat="1" applyFont="1" applyAlignment="1">
      <alignment horizontal="right"/>
    </xf>
    <xf numFmtId="169" fontId="44" fillId="0" borderId="0" xfId="0" applyNumberFormat="1" applyFont="1" applyAlignment="1">
      <alignment wrapText="1"/>
    </xf>
    <xf numFmtId="0" fontId="23" fillId="0" borderId="0" xfId="0" quotePrefix="1"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44" fillId="33" borderId="0" xfId="0" applyFont="1" applyFill="1"/>
    <xf numFmtId="0" fontId="0" fillId="33" borderId="0" xfId="0" applyFill="1"/>
    <xf numFmtId="171" fontId="0" fillId="33" borderId="0" xfId="0" applyNumberFormat="1" applyFill="1"/>
    <xf numFmtId="0" fontId="44" fillId="0" borderId="0" xfId="0" applyFont="1" applyAlignment="1">
      <alignment horizontal="right" wrapText="1"/>
    </xf>
    <xf numFmtId="169" fontId="44" fillId="0" borderId="0" xfId="0" applyNumberFormat="1" applyFont="1" applyAlignment="1">
      <alignment horizontal="right" wrapText="1"/>
    </xf>
    <xf numFmtId="14" fontId="0" fillId="0" borderId="0" xfId="0" applyNumberFormat="1"/>
    <xf numFmtId="171" fontId="22" fillId="0" borderId="0" xfId="0" applyNumberFormat="1" applyFont="1"/>
    <xf numFmtId="0" fontId="0" fillId="0" borderId="11" xfId="0" applyBorder="1"/>
    <xf numFmtId="0" fontId="22" fillId="0" borderId="11" xfId="0" applyFont="1" applyBorder="1"/>
    <xf numFmtId="166" fontId="0" fillId="0" borderId="11" xfId="0" applyNumberFormat="1" applyBorder="1"/>
    <xf numFmtId="166" fontId="22" fillId="0" borderId="11" xfId="0" applyNumberFormat="1" applyFont="1" applyBorder="1"/>
    <xf numFmtId="166" fontId="0" fillId="0" borderId="11" xfId="1" applyNumberFormat="1" applyFont="1" applyBorder="1"/>
    <xf numFmtId="0" fontId="0" fillId="0" borderId="12" xfId="0" applyBorder="1"/>
    <xf numFmtId="0" fontId="22" fillId="0" borderId="12" xfId="0" applyFont="1" applyBorder="1"/>
    <xf numFmtId="166" fontId="0" fillId="0" borderId="12" xfId="0" applyNumberFormat="1" applyBorder="1"/>
    <xf numFmtId="0" fontId="23" fillId="0" borderId="12" xfId="0" applyFont="1" applyBorder="1"/>
    <xf numFmtId="0" fontId="48" fillId="0" borderId="12" xfId="0" applyFont="1" applyBorder="1"/>
    <xf numFmtId="0" fontId="25" fillId="0" borderId="12" xfId="0" applyFont="1" applyBorder="1"/>
    <xf numFmtId="0" fontId="19" fillId="0" borderId="12" xfId="0" applyFont="1" applyBorder="1"/>
    <xf numFmtId="0" fontId="19" fillId="0" borderId="0" xfId="0" applyFont="1"/>
    <xf numFmtId="0" fontId="51" fillId="0" borderId="0" xfId="0" applyFont="1" applyAlignment="1">
      <alignment vertical="center"/>
    </xf>
    <xf numFmtId="166" fontId="27" fillId="0" borderId="0" xfId="1" applyNumberFormat="1" applyFont="1"/>
    <xf numFmtId="166" fontId="27" fillId="0" borderId="11" xfId="1" applyNumberFormat="1" applyFont="1" applyBorder="1"/>
    <xf numFmtId="0" fontId="22" fillId="33" borderId="0" xfId="0" applyFont="1" applyFill="1"/>
    <xf numFmtId="0" fontId="53" fillId="0" borderId="0" xfId="0" applyFont="1"/>
    <xf numFmtId="167" fontId="0" fillId="0" borderId="11" xfId="0" applyNumberFormat="1" applyBorder="1"/>
    <xf numFmtId="167" fontId="0" fillId="0" borderId="11" xfId="1" applyNumberFormat="1" applyFont="1" applyBorder="1"/>
    <xf numFmtId="166" fontId="0" fillId="0" borderId="11" xfId="0" applyNumberFormat="1" applyBorder="1" applyAlignment="1">
      <alignment horizontal="right"/>
    </xf>
    <xf numFmtId="167" fontId="0" fillId="0" borderId="11" xfId="0" applyNumberFormat="1" applyBorder="1" applyAlignment="1">
      <alignment horizontal="right"/>
    </xf>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ill="1"/>
    <xf numFmtId="0" fontId="54" fillId="35" borderId="0" xfId="44" applyFont="1" applyFill="1"/>
    <xf numFmtId="0" fontId="54" fillId="35" borderId="0" xfId="0" applyFont="1" applyFill="1"/>
    <xf numFmtId="0" fontId="12" fillId="0" borderId="0" xfId="47"/>
    <xf numFmtId="0" fontId="54" fillId="0" borderId="0" xfId="47" applyFo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1" applyNumberFormat="1" applyFont="1"/>
    <xf numFmtId="10" fontId="0" fillId="0" borderId="0" xfId="43" applyNumberFormat="1" applyFont="1"/>
    <xf numFmtId="0" fontId="22" fillId="34" borderId="12" xfId="0" applyFont="1" applyFill="1" applyBorder="1" applyAlignment="1">
      <alignment horizontal="right" wrapText="1"/>
    </xf>
    <xf numFmtId="165" fontId="50" fillId="34" borderId="0" xfId="1" applyFont="1" applyFill="1"/>
    <xf numFmtId="165" fontId="27" fillId="0" borderId="11" xfId="1" applyFont="1" applyBorder="1"/>
    <xf numFmtId="165" fontId="27" fillId="0" borderId="0" xfId="1" applyFont="1"/>
    <xf numFmtId="165" fontId="27" fillId="0" borderId="0" xfId="1" applyFont="1" applyFill="1"/>
    <xf numFmtId="10" fontId="56" fillId="0" borderId="14" xfId="43" applyNumberFormat="1" applyFont="1" applyBorder="1"/>
    <xf numFmtId="0" fontId="6" fillId="0" borderId="0" xfId="334"/>
    <xf numFmtId="0" fontId="54" fillId="0" borderId="0" xfId="334" applyFont="1"/>
    <xf numFmtId="14" fontId="54" fillId="0" borderId="0" xfId="334" applyNumberFormat="1" applyFont="1"/>
    <xf numFmtId="14" fontId="6" fillId="0" borderId="0" xfId="334" applyNumberFormat="1"/>
    <xf numFmtId="11" fontId="0" fillId="0" borderId="0" xfId="0" applyNumberFormat="1"/>
    <xf numFmtId="166" fontId="27" fillId="0" borderId="0" xfId="1" applyNumberFormat="1" applyFont="1" applyFill="1"/>
    <xf numFmtId="0" fontId="50" fillId="34" borderId="14" xfId="0" applyFont="1" applyFill="1" applyBorder="1"/>
    <xf numFmtId="165" fontId="50" fillId="34" borderId="12" xfId="1" applyFont="1" applyFill="1" applyBorder="1" applyAlignment="1">
      <alignment horizontal="left"/>
    </xf>
    <xf numFmtId="17" fontId="27" fillId="0" borderId="0" xfId="0" applyNumberFormat="1" applyFont="1" applyAlignment="1">
      <alignment horizontal="right"/>
    </xf>
    <xf numFmtId="165" fontId="27" fillId="0" borderId="0" xfId="0" applyNumberFormat="1" applyFont="1" applyAlignment="1">
      <alignment horizontal="right"/>
    </xf>
    <xf numFmtId="10" fontId="56" fillId="0" borderId="0" xfId="43" applyNumberFormat="1" applyFont="1" applyBorder="1"/>
    <xf numFmtId="166" fontId="50" fillId="0" borderId="0" xfId="1" applyNumberFormat="1" applyFont="1"/>
    <xf numFmtId="0" fontId="50" fillId="34" borderId="0" xfId="0" applyFont="1" applyFill="1"/>
    <xf numFmtId="0" fontId="27" fillId="0" borderId="0" xfId="0" applyFont="1" applyAlignment="1">
      <alignment horizontal="right"/>
    </xf>
    <xf numFmtId="166" fontId="27" fillId="0" borderId="0" xfId="0" applyNumberFormat="1" applyFont="1" applyAlignment="1">
      <alignment horizontal="right"/>
    </xf>
    <xf numFmtId="165" fontId="50" fillId="34" borderId="0" xfId="1" applyFont="1" applyFill="1" applyBorder="1"/>
    <xf numFmtId="0" fontId="18" fillId="0" borderId="0" xfId="0" applyFont="1"/>
    <xf numFmtId="0" fontId="18" fillId="0" borderId="0" xfId="0" applyFont="1" applyAlignment="1">
      <alignment horizontal="right"/>
    </xf>
    <xf numFmtId="2" fontId="18" fillId="0" borderId="0" xfId="0" applyNumberFormat="1" applyFont="1"/>
    <xf numFmtId="166" fontId="0" fillId="35" borderId="0" xfId="0" applyNumberFormat="1" applyFill="1"/>
    <xf numFmtId="0" fontId="6" fillId="0" borderId="0" xfId="586"/>
    <xf numFmtId="0" fontId="54" fillId="0" borderId="0" xfId="586" applyFont="1"/>
    <xf numFmtId="165" fontId="14" fillId="0" borderId="0" xfId="46" applyFont="1"/>
    <xf numFmtId="165" fontId="54" fillId="0" borderId="0" xfId="46" applyFont="1" applyFill="1" applyAlignment="1"/>
    <xf numFmtId="165" fontId="6" fillId="0" borderId="0" xfId="46" applyFont="1" applyFill="1"/>
    <xf numFmtId="0" fontId="54" fillId="35" borderId="0" xfId="586" applyFont="1" applyFill="1"/>
    <xf numFmtId="11" fontId="6" fillId="0" borderId="0" xfId="586" applyNumberFormat="1"/>
    <xf numFmtId="166" fontId="50" fillId="0" borderId="0" xfId="0" applyNumberFormat="1" applyFont="1"/>
    <xf numFmtId="0" fontId="6" fillId="0" borderId="0" xfId="0" applyFont="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xf numFmtId="0" fontId="54" fillId="35" borderId="0" xfId="587" applyFont="1" applyFill="1"/>
    <xf numFmtId="0" fontId="6" fillId="0" borderId="0" xfId="587"/>
    <xf numFmtId="0" fontId="54" fillId="0" borderId="0" xfId="587" applyFont="1"/>
    <xf numFmtId="0" fontId="6" fillId="0" borderId="0" xfId="581"/>
    <xf numFmtId="0" fontId="54" fillId="0" borderId="0" xfId="581" applyFont="1"/>
    <xf numFmtId="0" fontId="54" fillId="35" borderId="0" xfId="581" applyFont="1" applyFill="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5" fontId="6" fillId="0" borderId="0" xfId="573" applyFont="1" applyFill="1"/>
    <xf numFmtId="165" fontId="54" fillId="0" borderId="0" xfId="573" applyFont="1" applyFill="1" applyAlignment="1"/>
    <xf numFmtId="165"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12" xfId="0" quotePrefix="1" applyFont="1" applyFill="1" applyBorder="1" applyAlignment="1">
      <alignment horizontal="right"/>
    </xf>
    <xf numFmtId="0" fontId="50" fillId="34" borderId="12" xfId="0" applyFont="1" applyFill="1" applyBorder="1" applyAlignment="1">
      <alignment horizontal="right"/>
    </xf>
    <xf numFmtId="10" fontId="27" fillId="0" borderId="0" xfId="43" applyNumberFormat="1" applyFont="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Alignment="1">
      <alignment horizontal="center" vertical="center"/>
    </xf>
    <xf numFmtId="0" fontId="50" fillId="34" borderId="12" xfId="0" applyFont="1" applyFill="1" applyBorder="1"/>
    <xf numFmtId="0" fontId="50" fillId="0" borderId="11" xfId="0" applyFont="1" applyBorder="1"/>
    <xf numFmtId="166" fontId="50" fillId="0" borderId="11" xfId="0" applyNumberFormat="1" applyFont="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xf numFmtId="0" fontId="58" fillId="0" borderId="0" xfId="0" applyFont="1"/>
    <xf numFmtId="166" fontId="59" fillId="0" borderId="0" xfId="0" applyNumberFormat="1" applyFont="1"/>
    <xf numFmtId="166" fontId="57" fillId="0" borderId="0" xfId="0" applyNumberFormat="1" applyFont="1"/>
    <xf numFmtId="0" fontId="27" fillId="34" borderId="0" xfId="0" applyFont="1" applyFill="1"/>
    <xf numFmtId="0" fontId="57" fillId="0" borderId="11" xfId="0" applyFont="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7" fontId="50" fillId="0" borderId="0" xfId="0" applyNumberFormat="1" applyFont="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11" xfId="0" applyNumberFormat="1" applyFont="1" applyBorder="1" applyAlignment="1">
      <alignment horizontal="right"/>
    </xf>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5" fillId="0" borderId="0" xfId="982" applyNumberFormat="1" applyFont="1" applyFill="1"/>
    <xf numFmtId="0" fontId="54" fillId="0" borderId="0" xfId="1100" applyFont="1"/>
    <xf numFmtId="0" fontId="5" fillId="0" borderId="0" xfId="1100"/>
    <xf numFmtId="0" fontId="54" fillId="0" borderId="0" xfId="1095" applyFont="1"/>
    <xf numFmtId="0" fontId="54" fillId="35" borderId="0" xfId="1095" applyFont="1" applyFill="1"/>
    <xf numFmtId="166" fontId="5" fillId="0" borderId="0" xfId="1087" applyNumberFormat="1" applyFont="1" applyFill="1"/>
    <xf numFmtId="165" fontId="5" fillId="0" borderId="0" xfId="1087" applyFont="1" applyFill="1"/>
    <xf numFmtId="10" fontId="50" fillId="0" borderId="0" xfId="43" applyNumberFormat="1" applyFont="1" applyFill="1"/>
    <xf numFmtId="0" fontId="4"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xf numFmtId="167" fontId="27" fillId="0" borderId="0" xfId="0" applyNumberFormat="1" applyFont="1" applyAlignment="1">
      <alignment horizontal="right"/>
    </xf>
    <xf numFmtId="0" fontId="50" fillId="34" borderId="13" xfId="0" applyFont="1" applyFill="1" applyBorder="1" applyAlignment="1">
      <alignment horizontal="right"/>
    </xf>
    <xf numFmtId="166" fontId="27" fillId="0" borderId="0" xfId="0" applyNumberFormat="1" applyFont="1" applyAlignment="1">
      <alignment horizontal="center"/>
    </xf>
    <xf numFmtId="164" fontId="0" fillId="0" borderId="0" xfId="0" applyNumberFormat="1"/>
    <xf numFmtId="167" fontId="27" fillId="0" borderId="0" xfId="1" applyNumberFormat="1" applyFont="1" applyFill="1"/>
    <xf numFmtId="166" fontId="0" fillId="0" borderId="0" xfId="1" applyNumberFormat="1" applyFont="1" applyAlignment="1">
      <alignment horizontal="center"/>
    </xf>
    <xf numFmtId="0" fontId="51" fillId="0" borderId="0" xfId="0" applyFont="1" applyAlignment="1">
      <alignment horizontal="center" vertical="center"/>
    </xf>
    <xf numFmtId="0" fontId="52" fillId="34" borderId="0" xfId="0" applyFont="1" applyFill="1" applyAlignment="1">
      <alignment horizontal="center" vertical="center"/>
    </xf>
    <xf numFmtId="0" fontId="52" fillId="34" borderId="12" xfId="0" applyFont="1" applyFill="1" applyBorder="1" applyAlignment="1">
      <alignment horizontal="center" vertical="center"/>
    </xf>
    <xf numFmtId="0" fontId="50" fillId="34" borderId="13" xfId="0" applyFont="1" applyFill="1" applyBorder="1" applyAlignment="1">
      <alignment horizontal="center"/>
    </xf>
    <xf numFmtId="166" fontId="27" fillId="0" borderId="0" xfId="0" applyNumberFormat="1" applyFont="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5" fontId="50" fillId="34" borderId="0" xfId="1" applyFont="1" applyFill="1" applyBorder="1" applyAlignment="1">
      <alignment horizontal="right" wrapText="1"/>
    </xf>
    <xf numFmtId="165" fontId="50" fillId="34" borderId="12" xfId="1" applyFont="1" applyFill="1" applyBorder="1" applyAlignment="1">
      <alignment horizontal="right" wrapText="1"/>
    </xf>
    <xf numFmtId="0" fontId="50" fillId="0" borderId="0" xfId="0" applyFont="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166" fontId="22" fillId="0" borderId="0" xfId="1" applyNumberFormat="1" applyFont="1" applyAlignment="1">
      <alignment horizontal="center"/>
    </xf>
    <xf numFmtId="0" fontId="22" fillId="0" borderId="10" xfId="0" applyFont="1" applyBorder="1" applyAlignment="1">
      <alignment horizontal="center"/>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423"/>
  <sheetViews>
    <sheetView showGridLines="0" tabSelected="1" topLeftCell="A2" zoomScaleNormal="100" workbookViewId="0">
      <selection activeCell="G7" sqref="G7"/>
    </sheetView>
  </sheetViews>
  <sheetFormatPr defaultColWidth="9.109375" defaultRowHeight="13.2" x14ac:dyDescent="0.25"/>
  <cols>
    <col min="1" max="1" width="35" customWidth="1"/>
    <col min="2" max="2" width="14" customWidth="1"/>
    <col min="3" max="3" width="16.44140625" customWidth="1"/>
    <col min="4" max="4" width="13.44140625" customWidth="1"/>
    <col min="5" max="5" width="10.5546875" customWidth="1"/>
    <col min="6" max="6" width="15.5546875" bestFit="1" customWidth="1"/>
    <col min="7" max="8" width="16" bestFit="1" customWidth="1"/>
    <col min="9" max="9" width="15.5546875" bestFit="1" customWidth="1"/>
    <col min="10" max="11" width="18.5546875" bestFit="1" customWidth="1"/>
    <col min="12" max="12" width="17.109375" customWidth="1"/>
  </cols>
  <sheetData>
    <row r="3" spans="1:12" x14ac:dyDescent="0.25">
      <c r="H3" s="72">
        <v>45077</v>
      </c>
    </row>
    <row r="7" spans="1:12" x14ac:dyDescent="0.25">
      <c r="A7" s="1" t="str">
        <f>"Market Profile - "&amp; TEXT($H$3,"MMM")&amp;" "&amp;TEXT($H$3,"YYYY")</f>
        <v>Market Profile - May 2023</v>
      </c>
    </row>
    <row r="8" spans="1:12" x14ac:dyDescent="0.25">
      <c r="A8" s="1"/>
      <c r="G8" s="235" t="s">
        <v>176</v>
      </c>
      <c r="H8" s="235"/>
      <c r="I8" s="235"/>
    </row>
    <row r="9" spans="1:12" x14ac:dyDescent="0.25">
      <c r="A9" s="1"/>
      <c r="G9" s="235"/>
      <c r="H9" s="235"/>
      <c r="I9" s="235"/>
    </row>
    <row r="10" spans="1:12" x14ac:dyDescent="0.25">
      <c r="A10" s="1"/>
    </row>
    <row r="12" spans="1:12" s="1" customFormat="1" ht="12.75" customHeight="1" thickBot="1" x14ac:dyDescent="0.3">
      <c r="A12" s="79" t="s">
        <v>0</v>
      </c>
      <c r="B12" s="80"/>
      <c r="C12" s="80"/>
      <c r="D12" s="80"/>
      <c r="E12" s="80"/>
      <c r="F12" s="80"/>
      <c r="G12" s="80"/>
      <c r="H12" s="80"/>
      <c r="I12" s="80"/>
    </row>
    <row r="13" spans="1:12" s="1" customFormat="1" ht="12.75" customHeight="1" x14ac:dyDescent="0.25">
      <c r="A13" s="236" t="s">
        <v>148</v>
      </c>
      <c r="B13" s="168" t="s">
        <v>1</v>
      </c>
      <c r="C13" s="168" t="s">
        <v>157</v>
      </c>
      <c r="D13" s="168" t="s">
        <v>157</v>
      </c>
      <c r="E13" s="168" t="s">
        <v>2</v>
      </c>
      <c r="F13" s="168"/>
      <c r="G13" s="168"/>
      <c r="H13" s="168"/>
      <c r="I13" s="130"/>
    </row>
    <row r="14" spans="1:12" s="1" customFormat="1" ht="12.75" customHeight="1" x14ac:dyDescent="0.25">
      <c r="A14" s="236"/>
      <c r="B14" s="168" t="s">
        <v>3</v>
      </c>
      <c r="C14" s="168" t="s">
        <v>4</v>
      </c>
      <c r="D14" s="168" t="s">
        <v>4</v>
      </c>
      <c r="E14" s="168" t="s">
        <v>5</v>
      </c>
      <c r="F14" s="168"/>
      <c r="G14" s="168"/>
      <c r="H14" s="168"/>
      <c r="I14" s="130"/>
    </row>
    <row r="15" spans="1:12" s="1" customFormat="1" ht="12.75" customHeight="1" thickBot="1" x14ac:dyDescent="0.3">
      <c r="A15" s="237"/>
      <c r="B15" s="169" t="str">
        <f>TEXT($H$3,"MMM")&amp;" "&amp;TEXT($H$3,"YYYY")</f>
        <v>May 2023</v>
      </c>
      <c r="C15" s="169" t="str">
        <f>TEXT($H$3,"YYYY")</f>
        <v>2023</v>
      </c>
      <c r="D15" s="169">
        <f>TEXT($H$3,"YYYY")-1</f>
        <v>2022</v>
      </c>
      <c r="E15" s="170" t="s">
        <v>6</v>
      </c>
      <c r="F15" s="170">
        <f>TEXT($H$3,"YYYY")-1</f>
        <v>2022</v>
      </c>
      <c r="G15" s="170">
        <f>TEXT($H$3,"YYYY")-2</f>
        <v>2021</v>
      </c>
      <c r="H15" s="170">
        <f>TEXT($H$3,"YYYY")-3</f>
        <v>2020</v>
      </c>
      <c r="I15" s="170">
        <f>TEXT($H$3,"YYYY")-4</f>
        <v>2019</v>
      </c>
      <c r="J15" s="14"/>
    </row>
    <row r="16" spans="1:12" ht="12.75" customHeight="1" x14ac:dyDescent="0.25">
      <c r="A16" s="18" t="s">
        <v>107</v>
      </c>
      <c r="B16" s="88">
        <f>Data!D2</f>
        <v>7594578</v>
      </c>
      <c r="C16" s="88">
        <f>Data!D5</f>
        <v>32020180</v>
      </c>
      <c r="D16" s="30">
        <f>Data!D8</f>
        <v>35521430</v>
      </c>
      <c r="E16" s="171">
        <f>(C16-D16)/ABS(D16)</f>
        <v>-9.8567259257299047E-2</v>
      </c>
      <c r="F16" s="30">
        <v>80557739</v>
      </c>
      <c r="G16" s="30">
        <v>81587931</v>
      </c>
      <c r="H16" s="30">
        <v>92970422</v>
      </c>
      <c r="I16" s="30">
        <v>76554772</v>
      </c>
      <c r="J16" s="3"/>
      <c r="K16" s="109"/>
      <c r="L16" s="109"/>
    </row>
    <row r="17" spans="1:12" ht="12.75" customHeight="1" x14ac:dyDescent="0.25">
      <c r="A17" s="18" t="s">
        <v>108</v>
      </c>
      <c r="B17" s="88">
        <f>Data!B2/1000000</f>
        <v>7315.5849770000004</v>
      </c>
      <c r="C17" s="88">
        <f>Data!B5/1000000</f>
        <v>32872.261012000003</v>
      </c>
      <c r="D17" s="30">
        <f>Data!B8/1000000</f>
        <v>35111.025369000003</v>
      </c>
      <c r="E17" s="171">
        <f t="shared" ref="E17:E18" si="0">(C17-D17)/ABS(D17)</f>
        <v>-6.3762431699776995E-2</v>
      </c>
      <c r="F17" s="30">
        <v>81206</v>
      </c>
      <c r="G17" s="30">
        <v>122069</v>
      </c>
      <c r="H17" s="30">
        <v>117776</v>
      </c>
      <c r="I17" s="30">
        <v>82472</v>
      </c>
      <c r="J17" s="3"/>
      <c r="K17" s="109"/>
      <c r="L17" s="109"/>
    </row>
    <row r="18" spans="1:12" ht="12.75" customHeight="1" x14ac:dyDescent="0.25">
      <c r="A18" s="18" t="s">
        <v>109</v>
      </c>
      <c r="B18" s="88">
        <f>Data!C2/1000000</f>
        <v>512142.81470928167</v>
      </c>
      <c r="C18" s="88">
        <f>Data!C5/1000000</f>
        <v>2358010.3682590812</v>
      </c>
      <c r="D18" s="30">
        <f>Data!C8/1000000</f>
        <v>2609010.6029775902</v>
      </c>
      <c r="E18" s="171">
        <f t="shared" si="0"/>
        <v>-9.620514168552996E-2</v>
      </c>
      <c r="F18" s="30">
        <v>5877247</v>
      </c>
      <c r="G18" s="30">
        <v>5866721</v>
      </c>
      <c r="H18" s="30">
        <v>5791056</v>
      </c>
      <c r="I18" s="30">
        <v>5137534</v>
      </c>
      <c r="J18" s="3"/>
      <c r="L18" s="109"/>
    </row>
    <row r="19" spans="1:12" ht="12.75" customHeight="1" x14ac:dyDescent="0.25">
      <c r="A19" s="18"/>
      <c r="B19" s="115"/>
      <c r="C19" s="88"/>
      <c r="D19" s="30"/>
      <c r="E19" s="18"/>
      <c r="F19" s="30"/>
      <c r="G19" s="30"/>
      <c r="H19" s="30"/>
      <c r="I19" s="30"/>
      <c r="J19" s="3"/>
      <c r="K19" s="109"/>
      <c r="L19" s="109"/>
    </row>
    <row r="20" spans="1:12" s="1" customFormat="1" ht="12.75" customHeight="1" x14ac:dyDescent="0.25">
      <c r="A20" s="172" t="s">
        <v>149</v>
      </c>
      <c r="B20" s="129"/>
      <c r="C20" s="129"/>
      <c r="D20" s="145"/>
      <c r="E20" s="18"/>
      <c r="F20" s="30"/>
      <c r="G20" s="30"/>
      <c r="H20" s="30"/>
      <c r="I20" s="30"/>
      <c r="J20" s="3"/>
      <c r="K20" s="109"/>
      <c r="L20" s="109"/>
    </row>
    <row r="21" spans="1:12" ht="12.75" customHeight="1" x14ac:dyDescent="0.25">
      <c r="A21" s="18" t="s">
        <v>107</v>
      </c>
      <c r="B21" s="88">
        <f>Data!F2</f>
        <v>2089</v>
      </c>
      <c r="C21" s="88">
        <f>Data!F5</f>
        <v>8312</v>
      </c>
      <c r="D21" s="30">
        <f>Data!F8</f>
        <v>8290</v>
      </c>
      <c r="E21" s="171">
        <f>(C21-D21)/ABS(D21)</f>
        <v>2.6537997587454767E-3</v>
      </c>
      <c r="F21" s="30">
        <v>19953</v>
      </c>
      <c r="G21" s="30">
        <v>18154</v>
      </c>
      <c r="H21" s="30">
        <v>16383</v>
      </c>
      <c r="I21" s="30">
        <v>13577</v>
      </c>
      <c r="J21" s="3"/>
      <c r="K21" s="109"/>
      <c r="L21" s="109"/>
    </row>
    <row r="22" spans="1:12" ht="12.75" customHeight="1" x14ac:dyDescent="0.25">
      <c r="A22" s="18" t="s">
        <v>108</v>
      </c>
      <c r="B22" s="88">
        <f>Data!G2/1000000</f>
        <v>718.78540799999996</v>
      </c>
      <c r="C22" s="88">
        <f>Data!G5/1000000</f>
        <v>3782.392867</v>
      </c>
      <c r="D22" s="30">
        <f>Data!G8/1000000</f>
        <v>3724.2226129999999</v>
      </c>
      <c r="E22" s="171">
        <f t="shared" ref="E22:E23" si="1">(C22-D22)/ABS(D22)</f>
        <v>1.561943526064942E-2</v>
      </c>
      <c r="F22" s="30">
        <v>8240</v>
      </c>
      <c r="G22" s="30">
        <v>11396</v>
      </c>
      <c r="H22" s="30">
        <v>9320</v>
      </c>
      <c r="I22" s="30">
        <v>7535</v>
      </c>
      <c r="J22" s="3"/>
      <c r="K22" s="109"/>
      <c r="L22" s="109"/>
    </row>
    <row r="23" spans="1:12" ht="12.75" customHeight="1" thickBot="1" x14ac:dyDescent="0.3">
      <c r="A23" s="173" t="s">
        <v>109</v>
      </c>
      <c r="B23" s="89">
        <f>Data!H2/1000000</f>
        <v>41397.603999761675</v>
      </c>
      <c r="C23" s="89">
        <f>Data!H5/1000000</f>
        <v>212395.03863731099</v>
      </c>
      <c r="D23" s="174">
        <f>Data!H8/1000000</f>
        <v>243563.16721982538</v>
      </c>
      <c r="E23" s="175">
        <f t="shared" si="1"/>
        <v>-0.12796733158911469</v>
      </c>
      <c r="F23" s="174">
        <v>558440</v>
      </c>
      <c r="G23" s="174">
        <v>520447</v>
      </c>
      <c r="H23" s="174">
        <v>336907</v>
      </c>
      <c r="I23" s="174">
        <v>237942</v>
      </c>
    </row>
    <row r="24" spans="1:12" ht="12.75" customHeight="1" thickTop="1" x14ac:dyDescent="0.25">
      <c r="B24" s="3"/>
      <c r="C24" s="3"/>
      <c r="D24" s="3"/>
      <c r="E24" s="3"/>
      <c r="F24" s="13"/>
      <c r="G24" s="13"/>
      <c r="H24" s="13"/>
      <c r="I24" s="13"/>
    </row>
    <row r="25" spans="1:12" s="1" customFormat="1" ht="12.75" customHeight="1" thickBot="1" x14ac:dyDescent="0.3">
      <c r="A25" s="79" t="s">
        <v>7</v>
      </c>
      <c r="B25" s="80"/>
      <c r="C25" s="80"/>
      <c r="D25" s="80"/>
      <c r="E25" s="80"/>
      <c r="F25" s="80"/>
      <c r="G25" s="81"/>
      <c r="H25" s="80"/>
      <c r="I25" s="80"/>
    </row>
    <row r="26" spans="1:12" s="1" customFormat="1" ht="12.75" customHeight="1" x14ac:dyDescent="0.25">
      <c r="A26" s="130"/>
      <c r="B26" s="168" t="s">
        <v>1</v>
      </c>
      <c r="C26" s="168" t="s">
        <v>157</v>
      </c>
      <c r="D26" s="168" t="s">
        <v>157</v>
      </c>
      <c r="E26" s="168" t="s">
        <v>8</v>
      </c>
      <c r="F26" s="168"/>
      <c r="G26" s="176"/>
      <c r="H26" s="130"/>
      <c r="I26" s="130"/>
    </row>
    <row r="27" spans="1:12" s="1" customFormat="1" ht="12.75" customHeight="1" x14ac:dyDescent="0.25">
      <c r="A27" s="177"/>
      <c r="B27" s="168" t="s">
        <v>3</v>
      </c>
      <c r="C27" s="168" t="s">
        <v>4</v>
      </c>
      <c r="D27" s="168" t="s">
        <v>4</v>
      </c>
      <c r="E27" s="168" t="s">
        <v>9</v>
      </c>
      <c r="F27" s="168"/>
      <c r="G27" s="168"/>
      <c r="H27" s="168"/>
      <c r="I27" s="130"/>
    </row>
    <row r="28" spans="1:12" s="1" customFormat="1" ht="12.75" customHeight="1" thickBot="1" x14ac:dyDescent="0.3">
      <c r="A28" s="178"/>
      <c r="B28" s="169" t="str">
        <f>TEXT($H$3,"MMM")&amp;" "&amp;TEXT($H$3,"YYYY")</f>
        <v>May 2023</v>
      </c>
      <c r="C28" s="169" t="str">
        <f>$C$15</f>
        <v>2023</v>
      </c>
      <c r="D28" s="169">
        <f>$D$15</f>
        <v>2022</v>
      </c>
      <c r="E28" s="170" t="s">
        <v>6</v>
      </c>
      <c r="F28" s="170">
        <f>$F$15</f>
        <v>2022</v>
      </c>
      <c r="G28" s="178">
        <f>$G$15</f>
        <v>2021</v>
      </c>
      <c r="H28" s="178">
        <f>$H$15</f>
        <v>2020</v>
      </c>
      <c r="I28" s="178">
        <f>$I$15</f>
        <v>2019</v>
      </c>
    </row>
    <row r="29" spans="1:12" ht="12.75" customHeight="1" x14ac:dyDescent="0.25">
      <c r="A29" s="18" t="s">
        <v>10</v>
      </c>
      <c r="B29" s="30">
        <f>Data!O2/1000000</f>
        <v>74981.526608570013</v>
      </c>
      <c r="C29" s="30">
        <f>Data!O5/1000000</f>
        <v>337019.87083827</v>
      </c>
      <c r="D29" s="30">
        <f>Data!O8/1000000</f>
        <v>436457.07043362001</v>
      </c>
      <c r="E29" s="123">
        <f>C29-D29</f>
        <v>-99437.199595350015</v>
      </c>
      <c r="F29" s="30">
        <v>908376</v>
      </c>
      <c r="G29" s="30">
        <v>976144</v>
      </c>
      <c r="H29" s="30">
        <v>941529</v>
      </c>
      <c r="I29" s="132">
        <v>899391</v>
      </c>
      <c r="J29" s="13"/>
    </row>
    <row r="30" spans="1:12" ht="12.75" customHeight="1" x14ac:dyDescent="0.25">
      <c r="A30" s="18" t="s">
        <v>11</v>
      </c>
      <c r="B30" s="30">
        <f>Data!P2/1000000</f>
        <v>-87973.25954674001</v>
      </c>
      <c r="C30" s="30">
        <f>Data!P5/1000000</f>
        <v>-373528.05922887998</v>
      </c>
      <c r="D30" s="30">
        <f>Data!P8/1000000</f>
        <v>-435512.97209989</v>
      </c>
      <c r="E30" s="123">
        <f>C30-D30</f>
        <v>61984.912871010019</v>
      </c>
      <c r="F30" s="30">
        <v>-993050</v>
      </c>
      <c r="G30" s="30">
        <v>-1129243</v>
      </c>
      <c r="H30" s="30">
        <v>-1067119</v>
      </c>
      <c r="I30" s="132">
        <v>-1013558</v>
      </c>
      <c r="J30" s="13"/>
    </row>
    <row r="31" spans="1:12" s="1" customFormat="1" ht="12.75" customHeight="1" thickBot="1" x14ac:dyDescent="0.3">
      <c r="A31" s="179" t="s">
        <v>12</v>
      </c>
      <c r="B31" s="180">
        <f>Data!Q2/1000000</f>
        <v>-12991.73293817</v>
      </c>
      <c r="C31" s="180">
        <f>Data!Q5/1000000</f>
        <v>-36508.188390609997</v>
      </c>
      <c r="D31" s="180">
        <f>Data!Q8/1000000</f>
        <v>944.09833373000004</v>
      </c>
      <c r="E31" s="180">
        <f>C31-D31</f>
        <v>-37452.286724339996</v>
      </c>
      <c r="F31" s="180">
        <v>-84674</v>
      </c>
      <c r="G31" s="180">
        <v>-153099</v>
      </c>
      <c r="H31" s="180">
        <v>-125590</v>
      </c>
      <c r="I31" s="180">
        <v>-114167</v>
      </c>
      <c r="J31" s="13"/>
    </row>
    <row r="32" spans="1:12" ht="12.75" customHeight="1" thickTop="1" x14ac:dyDescent="0.25">
      <c r="B32" s="13"/>
      <c r="C32" s="13"/>
      <c r="D32" s="13"/>
      <c r="E32" s="13"/>
      <c r="F32" s="13"/>
      <c r="G32" s="13"/>
      <c r="H32" s="13"/>
      <c r="I32" s="13"/>
      <c r="J32" s="13"/>
    </row>
    <row r="33" spans="1:14" ht="12.75" customHeight="1" thickBot="1" x14ac:dyDescent="0.3">
      <c r="A33" s="85" t="s">
        <v>144</v>
      </c>
      <c r="B33" s="82"/>
      <c r="C33" s="82"/>
      <c r="D33" s="82"/>
      <c r="E33" s="82"/>
      <c r="F33" s="82"/>
      <c r="G33" s="81"/>
      <c r="H33" s="82"/>
      <c r="I33" s="82"/>
    </row>
    <row r="34" spans="1:14" s="1" customFormat="1" ht="12.75" customHeight="1" x14ac:dyDescent="0.25">
      <c r="A34" s="181"/>
      <c r="B34" s="168" t="s">
        <v>1</v>
      </c>
      <c r="C34" s="168" t="s">
        <v>157</v>
      </c>
      <c r="D34" s="168" t="s">
        <v>157</v>
      </c>
      <c r="E34" s="182" t="s">
        <v>2</v>
      </c>
      <c r="F34" s="182"/>
      <c r="G34" s="176"/>
      <c r="H34" s="182"/>
      <c r="I34" s="181"/>
      <c r="K34" s="109"/>
    </row>
    <row r="35" spans="1:14" s="1" customFormat="1" ht="12.75" customHeight="1" x14ac:dyDescent="0.25">
      <c r="A35" s="181"/>
      <c r="B35" s="168" t="s">
        <v>3</v>
      </c>
      <c r="C35" s="168" t="s">
        <v>4</v>
      </c>
      <c r="D35" s="168" t="s">
        <v>4</v>
      </c>
      <c r="E35" s="182" t="s">
        <v>5</v>
      </c>
      <c r="F35" s="168"/>
      <c r="G35" s="176"/>
      <c r="H35" s="182"/>
      <c r="I35" s="181"/>
      <c r="K35" s="109"/>
    </row>
    <row r="36" spans="1:14" s="1" customFormat="1" ht="12.75" customHeight="1" thickBot="1" x14ac:dyDescent="0.3">
      <c r="A36" s="183"/>
      <c r="B36" s="169" t="str">
        <f>TEXT($H$3,"MMM")&amp;" "&amp;TEXT($H$3,"YYYY")</f>
        <v>May 2023</v>
      </c>
      <c r="C36" s="169" t="str">
        <f>$C$15</f>
        <v>2023</v>
      </c>
      <c r="D36" s="169">
        <f>$D$15</f>
        <v>2022</v>
      </c>
      <c r="E36" s="170" t="s">
        <v>6</v>
      </c>
      <c r="F36" s="170">
        <f>$F$15</f>
        <v>2022</v>
      </c>
      <c r="G36" s="178">
        <f>$G$15</f>
        <v>2021</v>
      </c>
      <c r="H36" s="178">
        <f>$H$15</f>
        <v>2020</v>
      </c>
      <c r="I36" s="178">
        <f>$I$15</f>
        <v>2019</v>
      </c>
      <c r="K36" s="110"/>
      <c r="L36"/>
    </row>
    <row r="37" spans="1:14" ht="12.75" customHeight="1" x14ac:dyDescent="0.25">
      <c r="A37" s="184" t="s">
        <v>133</v>
      </c>
      <c r="B37" s="185"/>
      <c r="C37" s="185"/>
      <c r="D37" s="185"/>
      <c r="E37" s="184"/>
      <c r="F37" s="184"/>
      <c r="G37" s="30"/>
      <c r="H37" s="184"/>
      <c r="I37" s="184"/>
      <c r="K37" s="109"/>
      <c r="M37" s="16"/>
      <c r="N37" s="16"/>
    </row>
    <row r="38" spans="1:14" ht="12.75" customHeight="1" x14ac:dyDescent="0.25">
      <c r="A38" s="18" t="s">
        <v>107</v>
      </c>
      <c r="B38" s="30">
        <f>Data!CK1</f>
        <v>37385</v>
      </c>
      <c r="C38" s="30">
        <f>Data!CK6</f>
        <v>145597</v>
      </c>
      <c r="D38" s="30">
        <f>Data!CK11</f>
        <v>133690</v>
      </c>
      <c r="E38" s="171">
        <f t="shared" ref="E38:E40" si="2">IFERROR(IF(OR(AND(D38="",C38=""),AND(D38=0,C38=0)),"",
IF(OR(D38="",D38=0),1,
IF(OR(D38&lt;&gt;"",D38&lt;&gt;0),(C38-D38)/ABS(D38)))),-1)</f>
        <v>8.9064253122896259E-2</v>
      </c>
      <c r="F38" s="30">
        <v>331759</v>
      </c>
      <c r="G38" s="30">
        <v>326302</v>
      </c>
      <c r="H38" s="30">
        <v>335248</v>
      </c>
      <c r="I38" s="30">
        <v>291499</v>
      </c>
      <c r="J38" s="23"/>
      <c r="K38" s="109"/>
      <c r="M38" s="16"/>
      <c r="N38" s="16"/>
    </row>
    <row r="39" spans="1:14" ht="12.75" customHeight="1" x14ac:dyDescent="0.25">
      <c r="A39" s="18" t="s">
        <v>134</v>
      </c>
      <c r="B39" s="30">
        <f>Data!CK2/1000000</f>
        <v>1250847.7965269999</v>
      </c>
      <c r="C39" s="30">
        <f>Data!CK7/1000000</f>
        <v>5280891.5488360003</v>
      </c>
      <c r="D39" s="30">
        <f>Data!CK12/1000000</f>
        <v>4173062.816387</v>
      </c>
      <c r="E39" s="171">
        <f t="shared" si="2"/>
        <v>0.26547137706595758</v>
      </c>
      <c r="F39" s="30">
        <v>9975962</v>
      </c>
      <c r="G39" s="30">
        <v>9774042</v>
      </c>
      <c r="H39" s="30">
        <v>10949642</v>
      </c>
      <c r="I39" s="30">
        <v>9916268</v>
      </c>
      <c r="J39" s="13"/>
      <c r="K39" s="109"/>
    </row>
    <row r="40" spans="1:14" ht="12.75" customHeight="1" x14ac:dyDescent="0.25">
      <c r="A40" s="18" t="s">
        <v>135</v>
      </c>
      <c r="B40" s="30">
        <f>Data!CK3/1000000</f>
        <v>1115575.2587610621</v>
      </c>
      <c r="C40" s="30">
        <f>Data!CK8/1000000</f>
        <v>4821386.3288647933</v>
      </c>
      <c r="D40" s="30">
        <f>Data!CK13/1000000</f>
        <v>4082881.2903415761</v>
      </c>
      <c r="E40" s="171">
        <f t="shared" si="2"/>
        <v>0.1808784008171429</v>
      </c>
      <c r="F40" s="30">
        <v>9495385</v>
      </c>
      <c r="G40" s="30">
        <v>9621385</v>
      </c>
      <c r="H40" s="30">
        <v>10566924</v>
      </c>
      <c r="I40" s="30">
        <v>9975147</v>
      </c>
      <c r="J40" s="23"/>
      <c r="L40" s="86"/>
    </row>
    <row r="41" spans="1:14" ht="12.75" customHeight="1" x14ac:dyDescent="0.25">
      <c r="A41" s="18"/>
      <c r="B41" s="30"/>
      <c r="C41" s="186"/>
      <c r="D41" s="186"/>
      <c r="E41" s="115"/>
      <c r="F41" s="30"/>
      <c r="G41" s="30"/>
      <c r="H41" s="30"/>
      <c r="I41" s="30"/>
      <c r="M41" s="16"/>
      <c r="N41" s="16"/>
    </row>
    <row r="42" spans="1:14" s="1" customFormat="1" ht="12.75" customHeight="1" x14ac:dyDescent="0.25">
      <c r="A42" s="184" t="s">
        <v>136</v>
      </c>
      <c r="B42" s="30"/>
      <c r="C42" s="30"/>
      <c r="D42" s="30"/>
      <c r="E42" s="115"/>
      <c r="F42" s="30"/>
      <c r="G42" s="30"/>
      <c r="H42" s="30"/>
      <c r="I42" s="187"/>
      <c r="M42" s="14"/>
      <c r="N42" s="14"/>
    </row>
    <row r="43" spans="1:14" ht="12.75" customHeight="1" x14ac:dyDescent="0.25">
      <c r="A43" s="18" t="s">
        <v>107</v>
      </c>
      <c r="B43" s="30">
        <f>Data!CN1</f>
        <v>14362</v>
      </c>
      <c r="C43" s="30">
        <f>Data!CN6</f>
        <v>59431</v>
      </c>
      <c r="D43" s="30">
        <f>Data!CN11</f>
        <v>58144</v>
      </c>
      <c r="E43" s="171">
        <f t="shared" ref="E43:E45" si="3">IFERROR(IF(OR(AND(D43="",C43=""),AND(D43=0,C43=0)),"",
IF(OR(D43="",D43=0),1,
IF(OR(D43&lt;&gt;"",D43&lt;&gt;0),(C43-D43)/ABS(D43)))),-1)</f>
        <v>2.2134700055035775E-2</v>
      </c>
      <c r="F43" s="30">
        <v>138681</v>
      </c>
      <c r="G43" s="30">
        <v>146637</v>
      </c>
      <c r="H43" s="30">
        <v>143567</v>
      </c>
      <c r="I43" s="30">
        <v>177104</v>
      </c>
      <c r="J43" s="13"/>
      <c r="L43" s="1"/>
      <c r="M43" s="16"/>
      <c r="N43" s="16"/>
    </row>
    <row r="44" spans="1:14" ht="12.75" customHeight="1" x14ac:dyDescent="0.25">
      <c r="A44" s="18" t="s">
        <v>137</v>
      </c>
      <c r="B44" s="30">
        <f>Data!CN2/1000000</f>
        <v>3063026.8957219999</v>
      </c>
      <c r="C44" s="30">
        <f>Data!CN7/1000000</f>
        <v>12756433.014818</v>
      </c>
      <c r="D44" s="30">
        <f>Data!CN12/1000000</f>
        <v>11370783.823380001</v>
      </c>
      <c r="E44" s="171">
        <f t="shared" si="3"/>
        <v>0.12186048147260531</v>
      </c>
      <c r="F44" s="30">
        <v>25740895</v>
      </c>
      <c r="G44" s="30">
        <v>24786516</v>
      </c>
      <c r="H44" s="30">
        <v>21499151</v>
      </c>
      <c r="I44" s="30">
        <v>25798546</v>
      </c>
      <c r="J44" s="23"/>
      <c r="L44" s="1"/>
    </row>
    <row r="45" spans="1:14" ht="12.75" customHeight="1" x14ac:dyDescent="0.25">
      <c r="A45" s="18" t="s">
        <v>135</v>
      </c>
      <c r="B45" s="30">
        <f>Data!CN3/1000000</f>
        <v>2739148.6213344</v>
      </c>
      <c r="C45" s="30">
        <f>Data!CN8/1000000</f>
        <v>11781599.425547183</v>
      </c>
      <c r="D45" s="30">
        <f>Data!CN13/1000000</f>
        <v>10763062.809836637</v>
      </c>
      <c r="E45" s="171">
        <f t="shared" si="3"/>
        <v>9.4632599819047675E-2</v>
      </c>
      <c r="F45" s="30">
        <v>24079993</v>
      </c>
      <c r="G45" s="30">
        <v>24122266</v>
      </c>
      <c r="H45" s="30">
        <v>20832617</v>
      </c>
      <c r="I45" s="30">
        <v>25522755</v>
      </c>
      <c r="J45" s="23"/>
      <c r="L45" s="1"/>
    </row>
    <row r="46" spans="1:14" ht="12.75" customHeight="1" x14ac:dyDescent="0.25">
      <c r="A46" s="18"/>
      <c r="B46" s="30"/>
      <c r="C46" s="186"/>
      <c r="D46" s="186"/>
      <c r="E46" s="115"/>
      <c r="F46" s="30"/>
      <c r="G46" s="30"/>
      <c r="H46" s="30"/>
      <c r="I46" s="30"/>
      <c r="L46" s="1"/>
    </row>
    <row r="47" spans="1:14" ht="12.75" customHeight="1" x14ac:dyDescent="0.25">
      <c r="A47" s="172" t="s">
        <v>143</v>
      </c>
      <c r="B47" s="30"/>
      <c r="C47" s="186"/>
      <c r="D47" s="186"/>
      <c r="E47" s="115"/>
      <c r="F47" s="30"/>
      <c r="G47" s="30"/>
      <c r="H47" s="30"/>
      <c r="I47" s="30"/>
      <c r="J47" s="13"/>
      <c r="L47" s="1"/>
    </row>
    <row r="48" spans="1:14" s="1" customFormat="1" ht="12.75" customHeight="1" x14ac:dyDescent="0.25">
      <c r="A48" s="18" t="s">
        <v>107</v>
      </c>
      <c r="B48" s="88">
        <f>Data!CQ1</f>
        <v>1012</v>
      </c>
      <c r="C48" s="88">
        <f>Data!CQ6</f>
        <v>4231</v>
      </c>
      <c r="D48" s="30">
        <f>Data!CQ11</f>
        <v>4148</v>
      </c>
      <c r="E48" s="171">
        <f t="shared" ref="E48:E50" si="4">IFERROR(IF(OR(AND(D48="",C48=""),AND(D48=0,C48=0)),"",
IF(OR(D48="",D48=0),1,
IF(OR(D48&lt;&gt;"",D48&lt;&gt;0),(C48-D48)/ABS(D48)))),-1)</f>
        <v>2.0009643201542911E-2</v>
      </c>
      <c r="F48" s="30">
        <v>9986</v>
      </c>
      <c r="G48" s="30">
        <v>8564</v>
      </c>
      <c r="H48" s="30">
        <v>10968</v>
      </c>
      <c r="I48" s="30">
        <v>9100</v>
      </c>
      <c r="J48" s="13"/>
      <c r="L48" s="86"/>
    </row>
    <row r="49" spans="1:12" s="1" customFormat="1" ht="12.75" customHeight="1" x14ac:dyDescent="0.25">
      <c r="A49" s="18" t="s">
        <v>137</v>
      </c>
      <c r="B49" s="88">
        <f>Data!CQ2/1000000</f>
        <v>134636.861576</v>
      </c>
      <c r="C49" s="88">
        <f>Data!CQ7/1000000</f>
        <v>485065.83480100002</v>
      </c>
      <c r="D49" s="30">
        <f>Data!CQ12/1000000</f>
        <v>488861.41640099999</v>
      </c>
      <c r="E49" s="171">
        <f t="shared" si="4"/>
        <v>-7.7641259315228131E-3</v>
      </c>
      <c r="F49" s="30">
        <v>1160628</v>
      </c>
      <c r="G49" s="30">
        <v>742690</v>
      </c>
      <c r="H49" s="30">
        <v>967584</v>
      </c>
      <c r="I49" s="30">
        <v>717436</v>
      </c>
      <c r="J49" s="13"/>
      <c r="L49" s="86"/>
    </row>
    <row r="50" spans="1:12" s="1" customFormat="1" ht="12.75" customHeight="1" thickBot="1" x14ac:dyDescent="0.3">
      <c r="A50" s="173" t="s">
        <v>135</v>
      </c>
      <c r="B50" s="89">
        <f>Data!CQ3/1000000</f>
        <v>25713.943121060005</v>
      </c>
      <c r="C50" s="89">
        <f>Data!CQ8/1000000</f>
        <v>125934.96541062997</v>
      </c>
      <c r="D50" s="174">
        <f>Data!CQ13/1000000</f>
        <v>223930.64571399993</v>
      </c>
      <c r="E50" s="175">
        <f t="shared" si="4"/>
        <v>-0.43761620921027583</v>
      </c>
      <c r="F50" s="174">
        <v>389613</v>
      </c>
      <c r="G50" s="174">
        <v>250345</v>
      </c>
      <c r="H50" s="174">
        <v>343928</v>
      </c>
      <c r="I50" s="174">
        <v>223466</v>
      </c>
      <c r="J50" s="13"/>
      <c r="K50" s="14"/>
      <c r="L50" s="86"/>
    </row>
    <row r="51" spans="1:12" s="1" customFormat="1" ht="12.75" customHeight="1" thickTop="1" x14ac:dyDescent="0.25">
      <c r="A51" s="8" t="s">
        <v>138</v>
      </c>
      <c r="B51"/>
      <c r="C51"/>
      <c r="D51"/>
      <c r="E51"/>
      <c r="F51" s="13"/>
      <c r="G51" s="13"/>
      <c r="H51"/>
      <c r="I51"/>
    </row>
    <row r="52" spans="1:12" s="1" customFormat="1" ht="12.75" customHeight="1" x14ac:dyDescent="0.25">
      <c r="A52" s="8"/>
      <c r="B52" s="13"/>
      <c r="C52" s="13"/>
      <c r="D52" s="13"/>
      <c r="E52"/>
      <c r="F52" s="13"/>
      <c r="G52" s="13"/>
      <c r="H52"/>
      <c r="I52"/>
    </row>
    <row r="53" spans="1:12" ht="12.75" customHeight="1" thickBot="1" x14ac:dyDescent="0.3">
      <c r="A53" s="85" t="s">
        <v>139</v>
      </c>
      <c r="B53" s="82"/>
      <c r="C53" s="83"/>
      <c r="D53" s="82"/>
      <c r="E53" s="82"/>
      <c r="F53" s="79"/>
      <c r="G53" s="81"/>
      <c r="H53" s="82"/>
      <c r="I53" s="82"/>
      <c r="J53" s="24"/>
    </row>
    <row r="54" spans="1:12" ht="12.75" customHeight="1" x14ac:dyDescent="0.25">
      <c r="A54" s="181"/>
      <c r="B54" s="168" t="s">
        <v>1</v>
      </c>
      <c r="C54" s="168" t="s">
        <v>157</v>
      </c>
      <c r="D54" s="168" t="s">
        <v>157</v>
      </c>
      <c r="E54" s="182" t="s">
        <v>8</v>
      </c>
      <c r="F54" s="188"/>
      <c r="G54" s="176"/>
      <c r="H54" s="181"/>
      <c r="I54" s="181"/>
      <c r="J54" s="24"/>
    </row>
    <row r="55" spans="1:12" ht="12.75" customHeight="1" x14ac:dyDescent="0.25">
      <c r="A55" s="181"/>
      <c r="B55" s="168" t="s">
        <v>3</v>
      </c>
      <c r="C55" s="168" t="s">
        <v>4</v>
      </c>
      <c r="D55" s="168" t="s">
        <v>4</v>
      </c>
      <c r="E55" s="182" t="s">
        <v>9</v>
      </c>
      <c r="F55" s="188"/>
      <c r="G55" s="176"/>
      <c r="H55" s="181"/>
      <c r="I55" s="181"/>
      <c r="J55" s="24"/>
    </row>
    <row r="56" spans="1:12" ht="12.75" customHeight="1" thickBot="1" x14ac:dyDescent="0.3">
      <c r="A56" s="183"/>
      <c r="B56" s="169" t="str">
        <f>TEXT($H$3,"MMM")&amp;" "&amp;TEXT($H$3,"YYYY")</f>
        <v>May 2023</v>
      </c>
      <c r="C56" s="169" t="str">
        <f>$C$15</f>
        <v>2023</v>
      </c>
      <c r="D56" s="169">
        <f>$D$15</f>
        <v>2022</v>
      </c>
      <c r="E56" s="170" t="s">
        <v>6</v>
      </c>
      <c r="F56" s="170">
        <f>$F$15</f>
        <v>2022</v>
      </c>
      <c r="G56" s="178">
        <f>$G$15</f>
        <v>2021</v>
      </c>
      <c r="H56" s="178">
        <f>$H$15</f>
        <v>2020</v>
      </c>
      <c r="I56" s="178">
        <f>$I$15</f>
        <v>2019</v>
      </c>
      <c r="J56" s="1"/>
      <c r="L56" s="86"/>
    </row>
    <row r="57" spans="1:12" ht="12.75" customHeight="1" x14ac:dyDescent="0.25">
      <c r="A57" s="18" t="s">
        <v>140</v>
      </c>
      <c r="B57" s="30">
        <f>(SUMIFS(Data!$CZ$14:$CZ$25,Data!$CU$14:$CU$25,"Standard Trade")+SUMIFS(Data!$CZ$14:$CZ$25,Data!$CU$14:$CU$25,"Standard Trade (Spot)"))/1000000</f>
        <v>144341.884765</v>
      </c>
      <c r="C57" s="30">
        <f>(SUMIFS(Data!$CZ$1:$CZ$12,Data!$CU$1:$CU$12,"Standard Trade")+SUMIFS(Data!$CZ$1:$CZ$12,Data!$CU$1:$CU$12,"Standard Trade (Spot)"))/1000000</f>
        <v>669826.66143900005</v>
      </c>
      <c r="D57" s="30">
        <f>(SUMIFS(Data!$CZ$27:$CZ$38,Data!$CU$27:$CU$38,"Standard Trade")+SUMIFS(Data!$CZ$27:$CZ$38,Data!$CU$27:$CU$38,"Standard Trade (Spot)"))/1000000</f>
        <v>505956.99620699999</v>
      </c>
      <c r="E57" s="123">
        <f>C57-D57</f>
        <v>163869.66523200006</v>
      </c>
      <c r="F57" s="30">
        <v>1147370</v>
      </c>
      <c r="G57" s="30">
        <v>1085163</v>
      </c>
      <c r="H57" s="30">
        <v>1358203</v>
      </c>
      <c r="I57" s="186">
        <v>1367130</v>
      </c>
      <c r="J57" s="13"/>
      <c r="L57" s="86"/>
    </row>
    <row r="58" spans="1:12" ht="12.75" customHeight="1" x14ac:dyDescent="0.25">
      <c r="A58" s="18" t="s">
        <v>141</v>
      </c>
      <c r="B58" s="30">
        <f>(SUMIFS(Data!$DC$14:$DC$25,Data!$CU$14:$CU$25,"Standard Trade")+SUMIFS(Data!$DC$14:$DC$25,Data!$CU$14:$CU$25,"Standard Trade (Spot)"))/1000000</f>
        <v>186422.921003</v>
      </c>
      <c r="C58" s="30">
        <f>(SUMIFS(Data!$DC$1:$DC$12,Data!$CU$1:$CU$12,"Standard Trade")+SUMIFS(Data!$DC$1:$DC$12,Data!$CU$1:$CU$12,"Standard Trade (Spot)"))/1000000</f>
        <v>793146.21771700005</v>
      </c>
      <c r="D58" s="30">
        <f>(SUMIFS(Data!$DC$27:$DC$38,Data!$CU$27:$CU$38,"Standard Trade")+SUMIFS(Data!$DC$27:$DC$38,Data!$CU$27:$CU$38,"Standard Trade (Spot)"))/1000000</f>
        <v>573459.64958199998</v>
      </c>
      <c r="E58" s="123">
        <f>C58-D58</f>
        <v>219686.56813500007</v>
      </c>
      <c r="F58" s="30">
        <v>1302704</v>
      </c>
      <c r="G58" s="30">
        <v>1245133</v>
      </c>
      <c r="H58" s="30">
        <v>1406571</v>
      </c>
      <c r="I58" s="186">
        <v>1389324</v>
      </c>
      <c r="J58" s="13"/>
      <c r="L58" s="86"/>
    </row>
    <row r="59" spans="1:12" ht="12.75" customHeight="1" thickBot="1" x14ac:dyDescent="0.3">
      <c r="A59" s="189" t="s">
        <v>12</v>
      </c>
      <c r="B59" s="180">
        <f>B57-B58</f>
        <v>-42081.036238000001</v>
      </c>
      <c r="C59" s="180">
        <f t="shared" ref="C59" si="5">C57-C58</f>
        <v>-123319.556278</v>
      </c>
      <c r="D59" s="180">
        <f>D57-D58</f>
        <v>-67502.653374999994</v>
      </c>
      <c r="E59" s="180">
        <f>E57-E58</f>
        <v>-55816.902903000009</v>
      </c>
      <c r="F59" s="180">
        <v>-155334</v>
      </c>
      <c r="G59" s="180">
        <v>-159970</v>
      </c>
      <c r="H59" s="180">
        <v>-48367</v>
      </c>
      <c r="I59" s="180">
        <v>-22194</v>
      </c>
      <c r="J59" s="26"/>
      <c r="L59" s="86"/>
    </row>
    <row r="60" spans="1:12" ht="12.75" customHeight="1" thickTop="1" x14ac:dyDescent="0.25">
      <c r="A60" s="9" t="s">
        <v>160</v>
      </c>
      <c r="B60" s="25"/>
      <c r="C60" s="25"/>
      <c r="D60" s="25"/>
      <c r="E60" s="25"/>
      <c r="F60" s="1"/>
      <c r="G60" s="13"/>
      <c r="H60" s="25"/>
      <c r="I60" s="25"/>
      <c r="J60" s="24"/>
    </row>
    <row r="61" spans="1:12" ht="12.75" customHeight="1" x14ac:dyDescent="0.25">
      <c r="A61" s="1" t="str">
        <f>"Market Profile - "&amp; TEXT($H$3,"MMM")&amp;" "&amp;TEXT($H$3,"YYYY")</f>
        <v>Market Profile - May 2023</v>
      </c>
      <c r="B61" s="13"/>
      <c r="C61" s="13"/>
      <c r="D61" s="13"/>
      <c r="F61" s="87"/>
      <c r="G61" s="87"/>
      <c r="H61" s="87"/>
      <c r="I61" s="13"/>
    </row>
    <row r="62" spans="1:12" x14ac:dyDescent="0.25">
      <c r="B62" s="16"/>
      <c r="F62" s="21"/>
      <c r="G62" s="13"/>
    </row>
    <row r="63" spans="1:12" ht="13.8" thickBot="1" x14ac:dyDescent="0.3">
      <c r="A63" s="85" t="s">
        <v>142</v>
      </c>
      <c r="B63" s="80"/>
      <c r="C63" s="80"/>
      <c r="D63" s="80"/>
      <c r="E63" s="80"/>
      <c r="F63" s="79"/>
      <c r="G63" s="81"/>
      <c r="H63" s="80"/>
      <c r="I63" s="80"/>
    </row>
    <row r="64" spans="1:12" ht="13.8" x14ac:dyDescent="0.25">
      <c r="A64" s="181"/>
      <c r="B64" s="168" t="s">
        <v>1</v>
      </c>
      <c r="C64" s="168" t="s">
        <v>157</v>
      </c>
      <c r="D64" s="168" t="s">
        <v>157</v>
      </c>
      <c r="E64" s="182" t="s">
        <v>13</v>
      </c>
      <c r="F64" s="188"/>
      <c r="G64" s="176"/>
      <c r="H64" s="181"/>
      <c r="I64" s="181"/>
    </row>
    <row r="65" spans="1:9" ht="13.8" x14ac:dyDescent="0.25">
      <c r="A65" s="181"/>
      <c r="B65" s="168" t="s">
        <v>3</v>
      </c>
      <c r="C65" s="168" t="s">
        <v>4</v>
      </c>
      <c r="D65" s="168" t="s">
        <v>4</v>
      </c>
      <c r="E65" s="182" t="s">
        <v>9</v>
      </c>
      <c r="F65" s="188"/>
      <c r="G65" s="176"/>
      <c r="H65" s="181"/>
      <c r="I65" s="181"/>
    </row>
    <row r="66" spans="1:9" ht="14.4" thickBot="1" x14ac:dyDescent="0.3">
      <c r="A66" s="183"/>
      <c r="B66" s="169" t="str">
        <f>TEXT($H$3,"MMM")&amp;" "&amp;TEXT($H$3,"YYYY")</f>
        <v>May 2023</v>
      </c>
      <c r="C66" s="169" t="str">
        <f>TEXT($H$3,"YYYY")</f>
        <v>2023</v>
      </c>
      <c r="D66" s="169">
        <f>TEXT($H$3,"YYYY")-1</f>
        <v>2022</v>
      </c>
      <c r="E66" s="170" t="s">
        <v>6</v>
      </c>
      <c r="F66" s="170">
        <f>$F$15</f>
        <v>2022</v>
      </c>
      <c r="G66" s="178">
        <f>$G$15</f>
        <v>2021</v>
      </c>
      <c r="H66" s="178">
        <f>$H$15</f>
        <v>2020</v>
      </c>
      <c r="I66" s="178">
        <f>$I$15</f>
        <v>2019</v>
      </c>
    </row>
    <row r="67" spans="1:9" ht="13.8" x14ac:dyDescent="0.25">
      <c r="A67" s="172" t="s">
        <v>14</v>
      </c>
      <c r="B67" s="18"/>
      <c r="C67" s="18"/>
      <c r="D67" s="18"/>
      <c r="E67" s="18"/>
      <c r="F67" s="18"/>
      <c r="G67" s="18"/>
      <c r="H67" s="18"/>
      <c r="I67" s="18"/>
    </row>
    <row r="68" spans="1:9" ht="13.8" x14ac:dyDescent="0.25">
      <c r="A68" s="18" t="s">
        <v>107</v>
      </c>
      <c r="B68" s="88">
        <f>Data!BR20</f>
        <v>926</v>
      </c>
      <c r="C68" s="30">
        <f>Data!BR32</f>
        <v>6631</v>
      </c>
      <c r="D68" s="30">
        <f>Data!BR38</f>
        <v>5950</v>
      </c>
      <c r="E68" s="171">
        <f t="shared" ref="E68:E71" si="6">IFERROR(IF(OR(AND(D68="",C68=""),AND(D68=0,C68=0)),"",
IF(OR(D68="",D68=0),1,
IF(OR(D68&lt;&gt;"",D68&lt;&gt;0),(C68-D68)/ABS(D68)))),-1)</f>
        <v>0.11445378151260505</v>
      </c>
      <c r="F68" s="30">
        <v>14679</v>
      </c>
      <c r="G68" s="30">
        <v>11900</v>
      </c>
      <c r="H68" s="30">
        <v>14968</v>
      </c>
      <c r="I68" s="30">
        <v>12780</v>
      </c>
    </row>
    <row r="69" spans="1:9" ht="13.8" x14ac:dyDescent="0.25">
      <c r="A69" s="18" t="s">
        <v>130</v>
      </c>
      <c r="B69" s="88">
        <f>Data!BQ20</f>
        <v>591317</v>
      </c>
      <c r="C69" s="30">
        <f>Data!BQ32</f>
        <v>6379591</v>
      </c>
      <c r="D69" s="30">
        <f>Data!BQ38</f>
        <v>5763446</v>
      </c>
      <c r="E69" s="171">
        <f t="shared" si="6"/>
        <v>0.10690566025950447</v>
      </c>
      <c r="F69" s="30">
        <v>13723715</v>
      </c>
      <c r="G69" s="30">
        <v>12028332</v>
      </c>
      <c r="H69" s="30">
        <v>12515509</v>
      </c>
      <c r="I69" s="30">
        <v>10461871</v>
      </c>
    </row>
    <row r="70" spans="1:9" ht="13.8" x14ac:dyDescent="0.25">
      <c r="A70" s="18" t="s">
        <v>109</v>
      </c>
      <c r="B70" s="88">
        <f>Data!BP20/1000000</f>
        <v>54981.426326040004</v>
      </c>
      <c r="C70" s="30">
        <f>Data!BP32/1000000</f>
        <v>610226.13811025</v>
      </c>
      <c r="D70" s="30">
        <f>Data!BP38/1000000</f>
        <v>583690.26548388996</v>
      </c>
      <c r="E70" s="171">
        <f t="shared" si="6"/>
        <v>4.5462249750492775E-2</v>
      </c>
      <c r="F70" s="30">
        <v>1315679</v>
      </c>
      <c r="G70" s="30">
        <v>1205728</v>
      </c>
      <c r="H70" s="30">
        <v>1264935</v>
      </c>
      <c r="I70" s="30">
        <v>1158376</v>
      </c>
    </row>
    <row r="71" spans="1:9" ht="13.8" x14ac:dyDescent="0.25">
      <c r="A71" s="18" t="s">
        <v>129</v>
      </c>
      <c r="B71" s="88">
        <f>Data!BP26</f>
        <v>1272650</v>
      </c>
      <c r="C71" s="30">
        <f>B71</f>
        <v>1272650</v>
      </c>
      <c r="D71" s="30">
        <f>Data!BP44</f>
        <v>1197381</v>
      </c>
      <c r="E71" s="171">
        <f t="shared" si="6"/>
        <v>6.2861361588333206E-2</v>
      </c>
      <c r="F71" s="30">
        <v>1443210</v>
      </c>
      <c r="G71" s="30">
        <v>1071034</v>
      </c>
      <c r="H71" s="30">
        <v>969112</v>
      </c>
      <c r="I71" s="30">
        <v>947574</v>
      </c>
    </row>
    <row r="72" spans="1:9" ht="13.8" x14ac:dyDescent="0.25">
      <c r="A72" s="18"/>
      <c r="B72" s="88"/>
      <c r="C72" s="30"/>
      <c r="D72" s="30"/>
      <c r="E72" s="18"/>
      <c r="F72" s="30"/>
      <c r="G72" s="30"/>
      <c r="H72" s="30"/>
      <c r="I72" s="30"/>
    </row>
    <row r="73" spans="1:9" ht="13.8" x14ac:dyDescent="0.25">
      <c r="A73" s="172" t="s">
        <v>15</v>
      </c>
      <c r="B73" s="88"/>
      <c r="C73" s="30"/>
      <c r="D73" s="30"/>
      <c r="E73" s="18"/>
      <c r="F73" s="30"/>
      <c r="G73" s="30"/>
      <c r="H73" s="30"/>
      <c r="I73" s="30"/>
    </row>
    <row r="74" spans="1:9" ht="13.8" x14ac:dyDescent="0.25">
      <c r="A74" s="18" t="s">
        <v>107</v>
      </c>
      <c r="B74" s="88">
        <f>Data!BR23</f>
        <v>325</v>
      </c>
      <c r="C74" s="88">
        <f>Data!BR35</f>
        <v>593</v>
      </c>
      <c r="D74" s="88">
        <f>Data!BR41</f>
        <v>334</v>
      </c>
      <c r="E74" s="171">
        <f t="shared" ref="E74:E77" si="7">IFERROR(IF(OR(AND(D74="",C74=""),AND(D74=0,C74=0)),"",
IF(OR(D74="",D74=0),1,
IF(OR(D74&lt;&gt;"",D74&lt;&gt;0),(C74-D74)/ABS(D74)))),-1)</f>
        <v>0.77544910179640714</v>
      </c>
      <c r="F74" s="88">
        <v>1125</v>
      </c>
      <c r="G74" s="88">
        <v>1134</v>
      </c>
      <c r="H74" s="88">
        <v>1774</v>
      </c>
      <c r="I74" s="88">
        <v>1550</v>
      </c>
    </row>
    <row r="75" spans="1:9" ht="13.8" x14ac:dyDescent="0.25">
      <c r="A75" s="18" t="s">
        <v>130</v>
      </c>
      <c r="B75" s="88">
        <f>Data!BQ23</f>
        <v>160046</v>
      </c>
      <c r="C75" s="88">
        <f>Data!BQ35</f>
        <v>289947</v>
      </c>
      <c r="D75" s="88">
        <f>Data!BQ41</f>
        <v>226957</v>
      </c>
      <c r="E75" s="171">
        <f t="shared" si="7"/>
        <v>0.2775415607361747</v>
      </c>
      <c r="F75" s="88">
        <v>655620</v>
      </c>
      <c r="G75" s="88">
        <v>604424</v>
      </c>
      <c r="H75" s="88">
        <v>803665</v>
      </c>
      <c r="I75" s="88">
        <v>961911</v>
      </c>
    </row>
    <row r="76" spans="1:9" ht="13.8" x14ac:dyDescent="0.25">
      <c r="A76" s="18" t="s">
        <v>173</v>
      </c>
      <c r="B76" s="88">
        <f>Data!BP23/1000000</f>
        <v>216.3853695</v>
      </c>
      <c r="C76" s="88">
        <f>Data!BP35/1000000</f>
        <v>435.06243000000001</v>
      </c>
      <c r="D76" s="88">
        <f>Data!BP41/1000000</f>
        <v>367.27567163999998</v>
      </c>
      <c r="E76" s="171">
        <f t="shared" si="7"/>
        <v>0.18456642678593735</v>
      </c>
      <c r="F76" s="88">
        <v>1111</v>
      </c>
      <c r="G76" s="88">
        <v>993</v>
      </c>
      <c r="H76" s="88">
        <v>1574</v>
      </c>
      <c r="I76" s="88">
        <v>93866</v>
      </c>
    </row>
    <row r="77" spans="1:9" ht="14.4" thickBot="1" x14ac:dyDescent="0.3">
      <c r="A77" s="173" t="s">
        <v>129</v>
      </c>
      <c r="B77" s="89">
        <f>Data!BP29</f>
        <v>153947</v>
      </c>
      <c r="C77" s="89">
        <f>B77</f>
        <v>153947</v>
      </c>
      <c r="D77" s="89">
        <f>Data!BP47</f>
        <v>103702</v>
      </c>
      <c r="E77" s="175">
        <f t="shared" si="7"/>
        <v>0.48451331700449363</v>
      </c>
      <c r="F77" s="89">
        <v>131744</v>
      </c>
      <c r="G77" s="89">
        <v>126584</v>
      </c>
      <c r="H77" s="89">
        <v>155447</v>
      </c>
      <c r="I77" s="89">
        <v>275198</v>
      </c>
    </row>
    <row r="78" spans="1:9" ht="13.8" thickTop="1" x14ac:dyDescent="0.25">
      <c r="A78" s="9" t="s">
        <v>174</v>
      </c>
      <c r="B78" s="3"/>
      <c r="C78" s="13"/>
      <c r="D78" s="13"/>
      <c r="F78" s="21"/>
      <c r="G78" s="13"/>
      <c r="H78" s="13"/>
      <c r="I78" s="13"/>
    </row>
    <row r="79" spans="1:9" x14ac:dyDescent="0.25">
      <c r="A79" s="9" t="s">
        <v>175</v>
      </c>
      <c r="B79" s="3"/>
      <c r="C79" s="13"/>
      <c r="D79" s="13"/>
      <c r="F79" s="21"/>
      <c r="G79" s="13"/>
      <c r="H79" s="13"/>
      <c r="I79" s="13"/>
    </row>
    <row r="80" spans="1:9" x14ac:dyDescent="0.25">
      <c r="A80" s="27"/>
      <c r="B80" s="16"/>
      <c r="F80" s="21"/>
      <c r="G80" s="13"/>
    </row>
    <row r="81" spans="1:9" ht="13.8" thickBot="1" x14ac:dyDescent="0.3">
      <c r="A81" s="85" t="s">
        <v>145</v>
      </c>
      <c r="B81" s="80"/>
      <c r="C81" s="80"/>
      <c r="D81" s="80"/>
      <c r="E81" s="80"/>
      <c r="F81" s="81"/>
      <c r="G81" s="81"/>
      <c r="H81" s="80"/>
      <c r="I81" s="80"/>
    </row>
    <row r="82" spans="1:9" ht="13.8" x14ac:dyDescent="0.25">
      <c r="A82" s="181"/>
      <c r="B82" s="168" t="s">
        <v>1</v>
      </c>
      <c r="C82" s="168" t="s">
        <v>157</v>
      </c>
      <c r="D82" s="168" t="s">
        <v>157</v>
      </c>
      <c r="E82" s="182" t="s">
        <v>13</v>
      </c>
      <c r="F82" s="188"/>
      <c r="G82" s="176"/>
      <c r="H82" s="181"/>
      <c r="I82" s="181"/>
    </row>
    <row r="83" spans="1:9" ht="13.8" x14ac:dyDescent="0.25">
      <c r="A83" s="181"/>
      <c r="B83" s="168" t="s">
        <v>3</v>
      </c>
      <c r="C83" s="168" t="s">
        <v>4</v>
      </c>
      <c r="D83" s="168" t="s">
        <v>4</v>
      </c>
      <c r="E83" s="182" t="s">
        <v>9</v>
      </c>
      <c r="F83" s="188"/>
      <c r="G83" s="176"/>
      <c r="H83" s="181"/>
      <c r="I83" s="181"/>
    </row>
    <row r="84" spans="1:9" ht="14.4" thickBot="1" x14ac:dyDescent="0.3">
      <c r="A84" s="183"/>
      <c r="B84" s="169" t="str">
        <f>TEXT($H$3,"MMM")&amp;" "&amp;TEXT($H$3,"YYYY")</f>
        <v>May 2023</v>
      </c>
      <c r="C84" s="169" t="str">
        <f>TEXT($H$3,"YYYY")</f>
        <v>2023</v>
      </c>
      <c r="D84" s="169">
        <f>TEXT($H$3,"YYYY")-1</f>
        <v>2022</v>
      </c>
      <c r="E84" s="170" t="s">
        <v>6</v>
      </c>
      <c r="F84" s="170">
        <f>TEXT($H$3,"YYYY")-1</f>
        <v>2022</v>
      </c>
      <c r="G84" s="178">
        <f>TEXT($H$3,"YYYY")-2</f>
        <v>2021</v>
      </c>
      <c r="H84" s="178">
        <f>TEXT($H$3,"YYYY")-3</f>
        <v>2020</v>
      </c>
      <c r="I84" s="178">
        <f>TEXT($H$3,"YYYY")-4</f>
        <v>2019</v>
      </c>
    </row>
    <row r="85" spans="1:9" ht="13.8" x14ac:dyDescent="0.25">
      <c r="A85" s="172" t="s">
        <v>14</v>
      </c>
      <c r="B85" s="192"/>
      <c r="C85" s="192"/>
      <c r="D85" s="192"/>
      <c r="E85" s="190"/>
      <c r="F85" s="190"/>
      <c r="G85" s="193"/>
      <c r="H85" s="193"/>
      <c r="I85" s="193"/>
    </row>
    <row r="86" spans="1:9" ht="13.8" x14ac:dyDescent="0.25">
      <c r="A86" s="18" t="s">
        <v>107</v>
      </c>
      <c r="B86" s="30">
        <f>SUMIFS(Data!$AC:$AC,Data!$AE:$AE,"1")</f>
        <v>51781</v>
      </c>
      <c r="C86" s="30">
        <f>Data!BR76</f>
        <v>238865</v>
      </c>
      <c r="D86" s="30">
        <f>Data!BR82</f>
        <v>191990</v>
      </c>
      <c r="E86" s="171">
        <f>IFERROR(IF(OR(AND(D86="",C86=""),AND(D86=0,C86=0)),"",
IF(OR(D86="",D86=0),1,
IF(OR(D86&lt;&gt;"",D86&lt;&gt;0),(C86-D86)/ABS(D86)))),-1)</f>
        <v>0.24415334131986041</v>
      </c>
      <c r="F86" s="30">
        <v>14679</v>
      </c>
      <c r="G86" s="30">
        <v>456788</v>
      </c>
      <c r="H86" s="30">
        <v>479225</v>
      </c>
      <c r="I86" s="30">
        <v>436351</v>
      </c>
    </row>
    <row r="87" spans="1:9" ht="13.8" x14ac:dyDescent="0.25">
      <c r="A87" s="18" t="s">
        <v>128</v>
      </c>
      <c r="B87" s="30">
        <f>SUMIFS(Data!$AB:$AB,Data!$AE:$AE,"1")/1000</f>
        <v>319.58100000000002</v>
      </c>
      <c r="C87" s="30">
        <f>Data!BQ76</f>
        <v>1321625</v>
      </c>
      <c r="D87" s="30">
        <f>Data!BQ82</f>
        <v>1266309</v>
      </c>
      <c r="E87" s="171">
        <f t="shared" ref="E87:E89" si="8">IFERROR(IF(OR(AND(D87="",C87=""),AND(D87=0,C87=0)),"",
IF(OR(D87="",D87=0),1,
IF(OR(D87&lt;&gt;"",D87&lt;&gt;0),(C87-D87)/ABS(D87)))),-1)</f>
        <v>4.3682860976270402E-2</v>
      </c>
      <c r="F87" s="30">
        <v>13723715</v>
      </c>
      <c r="G87" s="30">
        <v>3313674</v>
      </c>
      <c r="H87" s="30">
        <v>3219382</v>
      </c>
      <c r="I87" s="30">
        <v>3206466</v>
      </c>
    </row>
    <row r="88" spans="1:9" ht="13.8" x14ac:dyDescent="0.25">
      <c r="A88" s="18" t="s">
        <v>109</v>
      </c>
      <c r="B88" s="30">
        <f>SUMIFS(Data!$AA:$AA,Data!$AE:$AE,"1")/1000000</f>
        <v>120180.28987680598</v>
      </c>
      <c r="C88" s="30">
        <f>Data!BP76/1000000</f>
        <v>537595.51728770451</v>
      </c>
      <c r="D88" s="30">
        <f>Data!BP82/1000000</f>
        <v>511356.41400015249</v>
      </c>
      <c r="E88" s="171">
        <f t="shared" si="8"/>
        <v>5.1312748934335635E-2</v>
      </c>
      <c r="F88" s="30">
        <v>1315679</v>
      </c>
      <c r="G88" s="30">
        <v>1103552</v>
      </c>
      <c r="H88" s="30">
        <v>912482</v>
      </c>
      <c r="I88" s="30">
        <v>805011</v>
      </c>
    </row>
    <row r="89" spans="1:9" ht="13.8" x14ac:dyDescent="0.25">
      <c r="A89" s="18" t="s">
        <v>129</v>
      </c>
      <c r="B89" s="30">
        <f>SUMIFS(Data!$AK:$AK,Data!$AL:$AL,"1")</f>
        <v>120504</v>
      </c>
      <c r="C89" s="30">
        <f>B89</f>
        <v>120504</v>
      </c>
      <c r="D89" s="30">
        <f>Data!BP88</f>
        <v>111818</v>
      </c>
      <c r="E89" s="171">
        <f t="shared" si="8"/>
        <v>7.7679801105367652E-2</v>
      </c>
      <c r="F89" s="30">
        <v>1443210</v>
      </c>
      <c r="G89" s="30">
        <v>126020</v>
      </c>
      <c r="H89" s="30">
        <v>125413</v>
      </c>
      <c r="I89" s="30">
        <v>114681</v>
      </c>
    </row>
    <row r="90" spans="1:9" ht="13.8" x14ac:dyDescent="0.25">
      <c r="A90" s="18"/>
      <c r="B90" s="30"/>
      <c r="C90" s="30"/>
      <c r="D90" s="30"/>
      <c r="E90" s="18"/>
      <c r="F90" s="30"/>
      <c r="G90" s="30"/>
      <c r="H90" s="30"/>
      <c r="I90" s="30"/>
    </row>
    <row r="91" spans="1:9" ht="13.8" x14ac:dyDescent="0.25">
      <c r="A91" s="172" t="s">
        <v>15</v>
      </c>
      <c r="B91" s="30"/>
      <c r="C91" s="30"/>
      <c r="D91" s="30"/>
      <c r="E91" s="18"/>
      <c r="F91" s="30"/>
      <c r="G91" s="30"/>
      <c r="H91" s="30"/>
      <c r="I91" s="30"/>
    </row>
    <row r="92" spans="1:9" ht="13.8" x14ac:dyDescent="0.25">
      <c r="A92" s="18" t="s">
        <v>107</v>
      </c>
      <c r="B92" s="30">
        <f>SUMIFS(Data!$AC:$AC,Data!$AE:$AE,"0")</f>
        <v>1301</v>
      </c>
      <c r="C92" s="30">
        <f>Data!BR79</f>
        <v>6414</v>
      </c>
      <c r="D92" s="30">
        <f>Data!BR85</f>
        <v>8777</v>
      </c>
      <c r="E92" s="171">
        <f>IFERROR(IF(OR(AND(D92="",C92=""),AND(D92=0,C92=0)),"",
IF(OR(D92="",D92=0),1,
IF(OR(D92&lt;&gt;"",D92&lt;&gt;0),(C92-D92)/ABS(D92)))),-1)</f>
        <v>-0.26922638714822833</v>
      </c>
      <c r="F92" s="30">
        <v>1125</v>
      </c>
      <c r="G92" s="30">
        <v>20475</v>
      </c>
      <c r="H92" s="30">
        <v>21151</v>
      </c>
      <c r="I92" s="30">
        <v>27189</v>
      </c>
    </row>
    <row r="93" spans="1:9" ht="13.8" x14ac:dyDescent="0.25">
      <c r="A93" s="18" t="s">
        <v>128</v>
      </c>
      <c r="B93" s="30">
        <f>SUMIFS(Data!$AB:$AB,Data!$AE:$AE,"0")/1000</f>
        <v>12.760999999999999</v>
      </c>
      <c r="C93" s="30">
        <f>Data!BQ79</f>
        <v>72213</v>
      </c>
      <c r="D93" s="30">
        <f>Data!BQ85</f>
        <v>122716</v>
      </c>
      <c r="E93" s="171">
        <f t="shared" ref="E93:E94" si="9">IFERROR(IF(OR(AND(D93="",C93=""),AND(D93=0,C93=0)),"",
IF(OR(D93="",D93=0),1,
IF(OR(D93&lt;&gt;"",D93&lt;&gt;0),(C93-D93)/ABS(D93)))),-1)</f>
        <v>-0.41154372697936698</v>
      </c>
      <c r="F93" s="30">
        <v>655620</v>
      </c>
      <c r="G93" s="30">
        <v>246067</v>
      </c>
      <c r="H93" s="30">
        <v>276216</v>
      </c>
      <c r="I93" s="30">
        <v>304220</v>
      </c>
    </row>
    <row r="94" spans="1:9" ht="13.8" x14ac:dyDescent="0.25">
      <c r="A94" s="18" t="s">
        <v>109</v>
      </c>
      <c r="B94" s="30">
        <f>SUMIFS(Data!$AA:$AA,Data!$AE:$AE,"0")/1000000</f>
        <v>160.06554227999999</v>
      </c>
      <c r="C94" s="30">
        <f>Data!BP79/1000000</f>
        <v>838.17542784</v>
      </c>
      <c r="D94" s="30">
        <f>Data!BP85/1000000</f>
        <v>2623.5249759000003</v>
      </c>
      <c r="E94" s="171">
        <f t="shared" si="9"/>
        <v>-0.68051555234290695</v>
      </c>
      <c r="F94" s="30">
        <v>1111</v>
      </c>
      <c r="G94" s="30">
        <v>4283</v>
      </c>
      <c r="H94" s="30">
        <v>2849</v>
      </c>
      <c r="I94" s="30">
        <v>4720</v>
      </c>
    </row>
    <row r="95" spans="1:9" ht="13.8" x14ac:dyDescent="0.25">
      <c r="A95" s="18" t="s">
        <v>129</v>
      </c>
      <c r="B95" s="30">
        <f>SUMIFS(Data!$AK:$AK,Data!$AL:$AL,"0")</f>
        <v>39011</v>
      </c>
      <c r="C95" s="30">
        <f>B95</f>
        <v>39011</v>
      </c>
      <c r="D95" s="30">
        <f>Data!BP91</f>
        <v>44637</v>
      </c>
      <c r="E95" s="171">
        <f>IFERROR(IF(OR(AND(D95="",C95=""),AND(D95=0,C95=0)),"",
IF(OR(D95="",D95=0),1,
IF(OR(D95&lt;&gt;"",D95&lt;&gt;0),(C95-D95)/ABS(D95)))),-1)</f>
        <v>-0.12603893630844368</v>
      </c>
      <c r="F95" s="30">
        <v>131744</v>
      </c>
      <c r="G95" s="30">
        <v>26240</v>
      </c>
      <c r="H95" s="30">
        <v>48256</v>
      </c>
      <c r="I95" s="30">
        <v>43126</v>
      </c>
    </row>
    <row r="96" spans="1:9" ht="12.75" customHeight="1" x14ac:dyDescent="0.25">
      <c r="B96" s="3"/>
      <c r="F96" s="235" t="s">
        <v>177</v>
      </c>
      <c r="G96" s="235"/>
      <c r="H96" s="235"/>
      <c r="I96" s="87"/>
    </row>
    <row r="97" spans="1:9" ht="12.75" customHeight="1" x14ac:dyDescent="0.25">
      <c r="B97" s="3"/>
      <c r="F97" s="235"/>
      <c r="G97" s="235"/>
      <c r="H97" s="235"/>
      <c r="I97" s="87"/>
    </row>
    <row r="98" spans="1:9" ht="13.8" thickBot="1" x14ac:dyDescent="0.3">
      <c r="A98" s="85" t="s">
        <v>110</v>
      </c>
      <c r="B98" s="80"/>
      <c r="C98" s="79"/>
      <c r="D98" s="80"/>
      <c r="E98" s="80"/>
      <c r="F98" s="79"/>
      <c r="G98" s="80"/>
      <c r="H98" s="79"/>
      <c r="I98" s="79"/>
    </row>
    <row r="99" spans="1:9" ht="13.8" x14ac:dyDescent="0.25">
      <c r="A99" s="188"/>
      <c r="B99" s="130" t="s">
        <v>150</v>
      </c>
      <c r="C99" s="130"/>
      <c r="D99" s="124"/>
      <c r="E99" s="130"/>
      <c r="F99" s="130"/>
      <c r="G99" s="130" t="s">
        <v>151</v>
      </c>
      <c r="H99" s="130"/>
      <c r="I99" s="130"/>
    </row>
    <row r="100" spans="1:9" ht="14.4" thickBot="1" x14ac:dyDescent="0.3">
      <c r="A100" s="178"/>
      <c r="B100" s="169" t="str">
        <f>TEXT($H$3,"MMM")&amp;" "&amp;TEXT($H$3,"YYYY")</f>
        <v>May 2023</v>
      </c>
      <c r="C100" s="169" t="str">
        <f>TEXT(DATE(2000,TEXT(H3,"M")-1,1),"mmm")&amp; " "&amp; TEXT(H3,"YYYY")</f>
        <v>Apr 2023</v>
      </c>
      <c r="D100" s="170" t="s">
        <v>111</v>
      </c>
      <c r="E100" s="169"/>
      <c r="F100" s="169"/>
      <c r="G100" s="169" t="str">
        <f>TEXT($H$3,"MMM")&amp;" "&amp;TEXT($H$3,"YYYY")</f>
        <v>May 2023</v>
      </c>
      <c r="H100" s="169" t="str">
        <f>TEXT($H$3,"MMM")&amp;" "&amp;TEXT($H$3,"YYYY")-1</f>
        <v>May 2022</v>
      </c>
      <c r="I100" s="170" t="s">
        <v>111</v>
      </c>
    </row>
    <row r="101" spans="1:9" ht="13.8" x14ac:dyDescent="0.25">
      <c r="A101" s="18" t="s">
        <v>112</v>
      </c>
      <c r="B101" s="197">
        <f>VLOOKUP("ABuy",Data!$J$1:$M$5,4,FALSE)/1000000</f>
        <v>247483.7532582159</v>
      </c>
      <c r="C101" s="197">
        <f>VLOOKUP("ABuy",Data!$J$7:$M$11,4,FALSE)/1000000</f>
        <v>171775.28997147852</v>
      </c>
      <c r="D101" s="117">
        <f>((B101/C101)-1)</f>
        <v>0.44074129229709347</v>
      </c>
      <c r="E101" s="197"/>
      <c r="F101" s="197"/>
      <c r="G101" s="197">
        <f>VLOOKUP("Abuy",Data!$J$13:$M$17,4,FALSE)/1000000</f>
        <v>221680.96577596499</v>
      </c>
      <c r="H101" s="197">
        <f>VLOOKUP("Abuy",Data!$J$19:$M$23,4,FALSE)/1000000</f>
        <v>152617.72970316999</v>
      </c>
      <c r="I101" s="128">
        <f>((G101/H101)-1)</f>
        <v>0.45252433126293923</v>
      </c>
    </row>
    <row r="102" spans="1:9" ht="13.8" x14ac:dyDescent="0.25">
      <c r="A102" s="18" t="s">
        <v>113</v>
      </c>
      <c r="B102" s="197">
        <f>VLOOKUP("ASell",Data!$J$1:$M$5,4,FALSE)/1000000</f>
        <v>227299.55378745624</v>
      </c>
      <c r="C102" s="197">
        <f>VLOOKUP("Asell",Data!$J$7:$M$11,4,FALSE)/1000000</f>
        <v>165507.65397878308</v>
      </c>
      <c r="D102" s="128">
        <f t="shared" ref="D102:D104" si="10">((B102/C102)-1)</f>
        <v>0.37334768709001476</v>
      </c>
      <c r="E102" s="197"/>
      <c r="F102" s="197"/>
      <c r="G102" s="197">
        <f>VLOOKUP("Asell",Data!$J$13:$M$17,4,FALSE)/1000000</f>
        <v>210234.01536364498</v>
      </c>
      <c r="H102" s="197">
        <f>VLOOKUP("Asell",Data!$J$19:$M$23,4,FALSE)/1000000</f>
        <v>152608.01285177999</v>
      </c>
      <c r="I102" s="128">
        <f t="shared" ref="I102:I104" si="11">((G102/H102)-1)</f>
        <v>0.37760797375583444</v>
      </c>
    </row>
    <row r="103" spans="1:9" ht="13.8" x14ac:dyDescent="0.25">
      <c r="A103" s="18" t="s">
        <v>114</v>
      </c>
      <c r="B103" s="197">
        <f>VLOOKUP("PBuy",Data!$J$1:$M$5,4,FALSE)/1000000</f>
        <v>264659.06145106576</v>
      </c>
      <c r="C103" s="197">
        <f>VLOOKUP("Pbuy",Data!$J$7:$M$11,4,FALSE)/1000000</f>
        <v>195793.7756223928</v>
      </c>
      <c r="D103" s="128">
        <f t="shared" si="10"/>
        <v>0.35172357042384395</v>
      </c>
      <c r="E103" s="197"/>
      <c r="F103" s="197"/>
      <c r="G103" s="197">
        <f>VLOOKUP("Pbuy",Data!$J$13:$M$17,4,FALSE)/1000000</f>
        <v>249064.24493355502</v>
      </c>
      <c r="H103" s="197">
        <f>VLOOKUP("Pbuy",Data!$J$19:$M$23,4,FALSE)/1000000</f>
        <v>182490.89642888997</v>
      </c>
      <c r="I103" s="128">
        <f t="shared" si="11"/>
        <v>0.36480366860714186</v>
      </c>
    </row>
    <row r="104" spans="1:9" ht="13.8" x14ac:dyDescent="0.25">
      <c r="A104" s="18" t="s">
        <v>115</v>
      </c>
      <c r="B104" s="197">
        <f>VLOOKUP("PSell",Data!$J$1:$M$5,4,FALSE)/1000000</f>
        <v>284843.26092182542</v>
      </c>
      <c r="C104" s="197">
        <f>VLOOKUP("Psell",Data!$J$7:$M$11,4,FALSE)/1000000</f>
        <v>202061.41161508829</v>
      </c>
      <c r="D104" s="128">
        <f t="shared" si="10"/>
        <v>0.40968658312864958</v>
      </c>
      <c r="E104" s="197"/>
      <c r="F104" s="197"/>
      <c r="G104" s="197">
        <f>VLOOKUP("Psell",Data!$J$13:$M$17,4,FALSE)/1000000</f>
        <v>260511.19534587499</v>
      </c>
      <c r="H104" s="197">
        <f>VLOOKUP("Psell",Data!$J$19:$M$23,4,FALSE)/1000000</f>
        <v>182500.61328028</v>
      </c>
      <c r="I104" s="128">
        <f t="shared" si="11"/>
        <v>0.42745380776221409</v>
      </c>
    </row>
    <row r="105" spans="1:9" ht="13.8" x14ac:dyDescent="0.25">
      <c r="A105" s="18"/>
      <c r="B105" s="30"/>
      <c r="C105" s="30"/>
      <c r="D105" s="18"/>
      <c r="E105" s="30"/>
      <c r="F105" s="30"/>
      <c r="G105" s="18"/>
      <c r="H105" s="18"/>
      <c r="I105" s="18"/>
    </row>
    <row r="106" spans="1:9" ht="14.4" thickBot="1" x14ac:dyDescent="0.3">
      <c r="A106" s="166" t="s">
        <v>116</v>
      </c>
      <c r="B106" s="167"/>
      <c r="C106" s="167"/>
      <c r="D106" s="167"/>
      <c r="E106" s="167"/>
      <c r="F106" s="167"/>
      <c r="G106" s="167"/>
      <c r="H106" s="166"/>
      <c r="I106" s="166"/>
    </row>
    <row r="107" spans="1:9" ht="14.4" thickBot="1" x14ac:dyDescent="0.3">
      <c r="A107" s="178"/>
      <c r="B107" s="170" t="s">
        <v>117</v>
      </c>
      <c r="C107" s="170" t="s">
        <v>4</v>
      </c>
      <c r="D107" s="238"/>
      <c r="E107" s="238"/>
      <c r="F107" s="170"/>
      <c r="G107" s="230" t="s">
        <v>118</v>
      </c>
      <c r="H107" s="230"/>
      <c r="I107" s="170" t="s">
        <v>28</v>
      </c>
    </row>
    <row r="108" spans="1:9" ht="13.8" x14ac:dyDescent="0.25">
      <c r="A108" s="172"/>
      <c r="B108" s="190"/>
      <c r="C108" s="190"/>
      <c r="D108" s="190"/>
      <c r="E108" s="190"/>
      <c r="F108" s="190"/>
      <c r="G108" s="190"/>
      <c r="H108" s="18"/>
      <c r="I108" s="190"/>
    </row>
    <row r="109" spans="1:9" ht="13.8" x14ac:dyDescent="0.25">
      <c r="A109" s="18" t="s">
        <v>107</v>
      </c>
      <c r="B109" s="132">
        <v>920270</v>
      </c>
      <c r="C109" s="205">
        <v>44425</v>
      </c>
      <c r="D109" s="239"/>
      <c r="E109" s="239"/>
      <c r="F109" s="205"/>
      <c r="G109" s="231">
        <v>13110584</v>
      </c>
      <c r="H109" s="231"/>
      <c r="I109" s="126" t="s">
        <v>721</v>
      </c>
    </row>
    <row r="110" spans="1:9" ht="13.8" x14ac:dyDescent="0.25">
      <c r="A110" s="18" t="s">
        <v>490</v>
      </c>
      <c r="B110" s="132">
        <v>1762606</v>
      </c>
      <c r="C110" s="205">
        <v>43439</v>
      </c>
      <c r="D110" s="239"/>
      <c r="E110" s="239"/>
      <c r="F110" s="205"/>
      <c r="G110" s="231">
        <v>14192736</v>
      </c>
      <c r="H110" s="231"/>
      <c r="I110" s="131" t="s">
        <v>721</v>
      </c>
    </row>
    <row r="111" spans="1:9" ht="13.8" x14ac:dyDescent="0.25">
      <c r="A111" s="18" t="s">
        <v>489</v>
      </c>
      <c r="B111" s="132">
        <v>155410</v>
      </c>
      <c r="C111" s="205">
        <v>44425</v>
      </c>
      <c r="D111" s="239"/>
      <c r="E111" s="239"/>
      <c r="F111" s="205"/>
      <c r="G111" s="231">
        <v>774899</v>
      </c>
      <c r="H111" s="231"/>
      <c r="I111" s="131" t="s">
        <v>721</v>
      </c>
    </row>
    <row r="112" spans="1:9" ht="13.8" x14ac:dyDescent="0.25">
      <c r="A112" s="18" t="s">
        <v>465</v>
      </c>
      <c r="B112" s="127">
        <v>23.17</v>
      </c>
      <c r="C112" s="205">
        <v>44592</v>
      </c>
      <c r="D112" s="132"/>
      <c r="E112" s="131"/>
      <c r="F112" s="132"/>
      <c r="G112" s="131"/>
      <c r="H112" s="18"/>
      <c r="I112" s="18"/>
    </row>
    <row r="113" spans="1:11" ht="13.8" thickBot="1" x14ac:dyDescent="0.3">
      <c r="A113" s="74"/>
      <c r="B113" s="74"/>
      <c r="C113" s="74"/>
      <c r="D113" s="74"/>
      <c r="E113" s="74"/>
      <c r="F113" s="74"/>
      <c r="G113" s="74"/>
      <c r="H113" s="74"/>
      <c r="I113" s="74"/>
    </row>
    <row r="114" spans="1:11" ht="13.8" thickTop="1" x14ac:dyDescent="0.25"/>
    <row r="122" spans="1:11" ht="12.75" customHeight="1" x14ac:dyDescent="0.25">
      <c r="A122" s="1" t="str">
        <f>"Market Profile - "&amp; TEXT($H$3,"MMM")&amp;" "&amp;TEXT($H$3,"YYYY")</f>
        <v>Market Profile - May 2023</v>
      </c>
      <c r="G122" s="87"/>
      <c r="H122" s="87"/>
    </row>
    <row r="123" spans="1:11" ht="12.75" customHeight="1" x14ac:dyDescent="0.25">
      <c r="F123" s="235" t="s">
        <v>177</v>
      </c>
      <c r="G123" s="235"/>
      <c r="H123" s="235"/>
    </row>
    <row r="124" spans="1:11" x14ac:dyDescent="0.25">
      <c r="F124" s="235"/>
      <c r="G124" s="235"/>
      <c r="H124" s="235"/>
    </row>
    <row r="125" spans="1:11" x14ac:dyDescent="0.25">
      <c r="K125" s="72"/>
    </row>
    <row r="126" spans="1:11" ht="13.8" thickBot="1" x14ac:dyDescent="0.3">
      <c r="A126" s="79" t="s">
        <v>723</v>
      </c>
      <c r="B126" s="84"/>
      <c r="C126" s="84"/>
      <c r="D126" s="84"/>
      <c r="E126" s="84"/>
      <c r="F126" s="84"/>
      <c r="G126" s="84"/>
      <c r="H126" s="84"/>
      <c r="I126" s="84"/>
      <c r="K126" s="72"/>
    </row>
    <row r="127" spans="1:11" ht="13.8" x14ac:dyDescent="0.25">
      <c r="A127" s="130"/>
      <c r="B127" s="130"/>
      <c r="C127" s="130"/>
      <c r="D127" s="130"/>
      <c r="E127" s="194"/>
      <c r="F127" s="247" t="s">
        <v>182</v>
      </c>
      <c r="G127" s="247"/>
      <c r="H127" s="247"/>
      <c r="I127" s="247"/>
    </row>
    <row r="128" spans="1:11" ht="14.4" thickBot="1" x14ac:dyDescent="0.3">
      <c r="A128" s="178"/>
      <c r="B128" s="195" t="str">
        <f>TEXT(DATE(2000,TEXT(H3,"M")-1,1),"mmm")&amp; " "&amp; TEXT(H3,"YYYY")</f>
        <v>Apr 2023</v>
      </c>
      <c r="C128" s="170" t="s">
        <v>16</v>
      </c>
      <c r="D128" s="195" t="str">
        <f>TEXT(DATE(2000,TEXT(H3,"M")-1,1),"mmm")&amp; " "&amp; TEXT(H3,"YYYY")-1</f>
        <v>Apr 2022</v>
      </c>
      <c r="E128" s="196" t="s">
        <v>16</v>
      </c>
      <c r="F128" s="178">
        <f>TEXT($H$3,"YYYY")-1</f>
        <v>2022</v>
      </c>
      <c r="G128" s="170">
        <f>TEXT($H$3,"YYYY")-2</f>
        <v>2021</v>
      </c>
      <c r="H128" s="178">
        <f>TEXT($H$3,"YYYY")-3</f>
        <v>2020</v>
      </c>
      <c r="I128" s="170">
        <f>TEXT($H$3,"YYYY")-4</f>
        <v>2019</v>
      </c>
    </row>
    <row r="129" spans="1:11" ht="13.8" x14ac:dyDescent="0.25">
      <c r="A129" s="18" t="s">
        <v>17</v>
      </c>
      <c r="B129" s="30">
        <v>1150652.6000000001</v>
      </c>
      <c r="C129" s="132">
        <v>20</v>
      </c>
      <c r="D129" s="30">
        <v>1195594</v>
      </c>
      <c r="E129" s="132">
        <v>18</v>
      </c>
      <c r="F129" s="132">
        <v>19</v>
      </c>
      <c r="G129" s="132">
        <v>19</v>
      </c>
      <c r="H129" s="18">
        <v>17</v>
      </c>
      <c r="I129" s="132">
        <v>18</v>
      </c>
      <c r="K129" s="72"/>
    </row>
    <row r="130" spans="1:11" ht="13.8" x14ac:dyDescent="0.25">
      <c r="A130" s="18" t="s">
        <v>18</v>
      </c>
      <c r="B130" s="30">
        <v>20119.82</v>
      </c>
      <c r="C130" s="132">
        <v>24</v>
      </c>
      <c r="D130" s="30">
        <v>28814</v>
      </c>
      <c r="E130" s="132">
        <v>22</v>
      </c>
      <c r="F130" s="132">
        <v>22</v>
      </c>
      <c r="G130" s="132">
        <v>19</v>
      </c>
      <c r="H130" s="18">
        <v>20</v>
      </c>
      <c r="I130" s="132">
        <v>20</v>
      </c>
    </row>
    <row r="131" spans="1:11" ht="13.8" x14ac:dyDescent="0.25">
      <c r="A131" s="18" t="s">
        <v>146</v>
      </c>
      <c r="B131" s="206">
        <v>0.1912968692722721</v>
      </c>
      <c r="C131" s="132">
        <v>32</v>
      </c>
      <c r="D131" s="233">
        <v>0.2555</v>
      </c>
      <c r="E131" s="132">
        <v>35</v>
      </c>
      <c r="F131" s="132">
        <v>33</v>
      </c>
      <c r="G131" s="132">
        <v>30</v>
      </c>
      <c r="H131" s="18">
        <v>25</v>
      </c>
      <c r="I131" s="132">
        <v>22</v>
      </c>
    </row>
    <row r="132" spans="1:11" ht="13.8" thickBot="1" x14ac:dyDescent="0.3">
      <c r="A132" s="74"/>
      <c r="B132" s="93"/>
      <c r="C132" s="94"/>
      <c r="D132" s="93"/>
      <c r="E132" s="94"/>
      <c r="F132" s="74"/>
      <c r="G132" s="94"/>
      <c r="H132" s="74"/>
      <c r="I132" s="94"/>
    </row>
    <row r="133" spans="1:11" ht="13.8" thickTop="1" x14ac:dyDescent="0.25">
      <c r="A133" s="15" t="s">
        <v>19</v>
      </c>
      <c r="B133" s="15"/>
      <c r="D133" s="13"/>
      <c r="E133" s="23"/>
    </row>
    <row r="134" spans="1:11" x14ac:dyDescent="0.25">
      <c r="A134" s="15" t="s">
        <v>20</v>
      </c>
      <c r="B134" s="28"/>
    </row>
    <row r="136" spans="1:11" x14ac:dyDescent="0.25">
      <c r="A136" s="86" t="s">
        <v>147</v>
      </c>
    </row>
    <row r="137" spans="1:11" ht="13.8" thickBot="1" x14ac:dyDescent="0.3">
      <c r="A137" s="80" t="s">
        <v>131</v>
      </c>
      <c r="B137" s="80"/>
      <c r="C137" s="80"/>
      <c r="D137" s="80"/>
      <c r="E137" s="80"/>
      <c r="F137" s="80"/>
      <c r="G137" s="80"/>
      <c r="H137" s="80"/>
      <c r="I137" s="80"/>
    </row>
    <row r="138" spans="1:11" ht="13.8" x14ac:dyDescent="0.25">
      <c r="A138" s="130"/>
      <c r="B138" s="168" t="s">
        <v>1</v>
      </c>
      <c r="C138" s="168" t="s">
        <v>159</v>
      </c>
      <c r="D138" s="168" t="s">
        <v>159</v>
      </c>
      <c r="E138" s="168" t="s">
        <v>2</v>
      </c>
      <c r="F138" s="198"/>
      <c r="G138" s="130"/>
      <c r="H138" s="130"/>
      <c r="I138" s="130"/>
    </row>
    <row r="139" spans="1:11" ht="13.8" x14ac:dyDescent="0.25">
      <c r="A139" s="130"/>
      <c r="B139" s="168" t="s">
        <v>3</v>
      </c>
      <c r="C139" s="168" t="s">
        <v>158</v>
      </c>
      <c r="D139" s="168" t="s">
        <v>158</v>
      </c>
      <c r="E139" s="168" t="s">
        <v>5</v>
      </c>
      <c r="F139" s="198"/>
      <c r="G139" s="130"/>
      <c r="H139" s="130"/>
      <c r="I139" s="130"/>
    </row>
    <row r="140" spans="1:11" ht="14.4" thickBot="1" x14ac:dyDescent="0.3">
      <c r="A140" s="178"/>
      <c r="B140" s="169" t="str">
        <f>TEXT($H$3,"MMM")&amp;" "&amp;TEXT($H$3,"YYYY")</f>
        <v>May 2023</v>
      </c>
      <c r="C140" s="169" t="str">
        <f>TEXT($H$3,"YYYY")</f>
        <v>2023</v>
      </c>
      <c r="D140" s="169">
        <f>TEXT($H$3,"YYYY")-1</f>
        <v>2022</v>
      </c>
      <c r="E140" s="170" t="s">
        <v>6</v>
      </c>
      <c r="F140" s="170">
        <f>TEXT($H$3,"YYYY")-1</f>
        <v>2022</v>
      </c>
      <c r="G140" s="170">
        <f>TEXT($H$3,"YYYY")-2</f>
        <v>2021</v>
      </c>
      <c r="H140" s="170">
        <f>TEXT($H$3,"YYYY")-3</f>
        <v>2020</v>
      </c>
      <c r="I140" s="170">
        <f>TEXT($H$3,"YYYY")-4</f>
        <v>2019</v>
      </c>
    </row>
    <row r="141" spans="1:11" ht="13.8" x14ac:dyDescent="0.25">
      <c r="A141" s="18" t="s">
        <v>21</v>
      </c>
      <c r="B141" s="123">
        <f>SUMIF(Data!$DG$1:$DG$15,"AS",Data!$DH$1:$DH$15)/1000000</f>
        <v>0</v>
      </c>
      <c r="C141" s="30">
        <f>SUMIF(Data!$DJ$1:$DJ$15,"AS",Data!$DK$1:$DK$15)/1000000</f>
        <v>0</v>
      </c>
      <c r="D141" s="30">
        <f>SUMIF(Data!$DM$1:$DM$15,"AS",Data!$DN$1:$DN$15)/1000000</f>
        <v>522.84620399999994</v>
      </c>
      <c r="E141" s="206">
        <f>IFERROR(IF(OR(AND(D141="",C141=""),AND(D141=0,C141=0)),0,
IF(OR(D141="",D141=0),1,
IF(OR(D141&lt;&gt;"",D141&lt;&gt;0),(C141-D141)/ABS(D141)))),-1)</f>
        <v>-1</v>
      </c>
      <c r="F141" s="132">
        <v>523</v>
      </c>
      <c r="G141" s="132">
        <v>3679</v>
      </c>
      <c r="H141" s="30">
        <v>4742</v>
      </c>
      <c r="I141" s="30">
        <v>1107</v>
      </c>
    </row>
    <row r="142" spans="1:11" ht="13.8" x14ac:dyDescent="0.25">
      <c r="A142" s="18" t="s">
        <v>22</v>
      </c>
      <c r="B142" s="123">
        <f>(SUMIF(Data!$DG$1:$DG$15,"RT",Data!$DH$1:$DH$15)+SUMIF(Data!$DG$1:$DG$15,"TU",Data!$DH$1:$DH$15))/1000000</f>
        <v>200.72217380000001</v>
      </c>
      <c r="C142" s="30">
        <f>(SUMIF(Data!$DJ$1:$DJ$15,"RT",Data!$DK$1:$DK$15)+SUMIF(Data!$DJ$1:$DJ$15,"TU",Data!$DK$1:$DK$15))/1000000</f>
        <v>1000.7221712</v>
      </c>
      <c r="D142" s="30">
        <f>(SUMIF(Data!$DM$1:$DM$15,"RT",Data!$DN$1:$DN$15)+SUMIF(Data!$DM$1:$DM$15,"TU",Data!$DN$1:$DN$15))/1000000</f>
        <v>54.999999950000003</v>
      </c>
      <c r="E142" s="206">
        <f t="shared" ref="E142:E145" si="12">IFERROR(IF(OR(AND(D142="",C142=""),AND(D142=0,C142=0)),0,
IF(OR(D142="",D142=0),1,
IF(OR(D142&lt;&gt;"",D142&lt;&gt;0),(C142-D142)/ABS(D142)))),-1)</f>
        <v>17.194948583813591</v>
      </c>
      <c r="F142" s="132">
        <v>700</v>
      </c>
      <c r="G142" s="132">
        <v>3880</v>
      </c>
      <c r="H142" s="30">
        <v>27182</v>
      </c>
      <c r="I142" s="30">
        <v>4409</v>
      </c>
    </row>
    <row r="143" spans="1:11" ht="13.8" x14ac:dyDescent="0.25">
      <c r="A143" s="18" t="s">
        <v>156</v>
      </c>
      <c r="B143" s="123">
        <v>0</v>
      </c>
      <c r="C143" s="30">
        <v>0</v>
      </c>
      <c r="D143" s="30">
        <v>0</v>
      </c>
      <c r="E143" s="206">
        <f t="shared" si="12"/>
        <v>0</v>
      </c>
      <c r="F143" s="132" t="s">
        <v>500</v>
      </c>
      <c r="G143" s="132" t="s">
        <v>722</v>
      </c>
      <c r="H143" s="116"/>
      <c r="I143" s="116" t="s">
        <v>500</v>
      </c>
    </row>
    <row r="144" spans="1:11" ht="13.8" x14ac:dyDescent="0.25">
      <c r="A144" s="18" t="s">
        <v>23</v>
      </c>
      <c r="B144" s="123">
        <f>(SUMIF(Data!$DG$1:$DG$15,"SO",Data!$DH$1:$DH$15)+SUMIF(Data!$DG$1:$DG$15,"SS",Data!$DH$1:$DH$15))/1000000</f>
        <v>173.77005713999998</v>
      </c>
      <c r="C144" s="30">
        <f>(SUMIF(Data!$DJ$1:$DJ$15,"SO",Data!$DK$1:$DK$15)+SUMIF(Data!$DJ$1:$DJ$15,"SS",Data!$DK$1:$DK$15))/1000000</f>
        <v>875.0733423800001</v>
      </c>
      <c r="D144" s="30">
        <f>(SUMIF(Data!$DM$1:$DM$15,"SO",Data!$DN$1:$DN$15)+SUMIF(Data!$DM$1:$DM$15,"SS",Data!$DN$1:$DN$15))/1000000</f>
        <v>1976.0298381499999</v>
      </c>
      <c r="E144" s="206">
        <f t="shared" si="12"/>
        <v>-0.55715580529934616</v>
      </c>
      <c r="F144" s="132">
        <v>4678</v>
      </c>
      <c r="G144" s="132">
        <v>3585</v>
      </c>
      <c r="H144" s="30">
        <v>3253</v>
      </c>
      <c r="I144" s="30">
        <v>4585</v>
      </c>
    </row>
    <row r="145" spans="1:9" ht="13.8" x14ac:dyDescent="0.25">
      <c r="A145" s="18" t="s">
        <v>24</v>
      </c>
      <c r="B145" s="123">
        <f>(SUMIF(Data!$DG$1:$DG$15,"SI",Data!$DH$1:$DH$15)+SUMIF(Data!$DG$1:$DG$15,"GI",Data!$DH$1:$DH$15))/1000000</f>
        <v>71.470448610000005</v>
      </c>
      <c r="C145" s="30">
        <f>(SUMIF(Data!$DJ$1:$DJ$15,"SI",Data!$DK$1:$DK$15)+SUMIF(Data!$DJ$1:$DJ$15,"GI",Data!$DK$1:$DK$15))/1000000</f>
        <v>1436.1973988</v>
      </c>
      <c r="D145" s="30">
        <f>(SUMIF(Data!$DM$1:$DM$15,"SI",Data!$DN$1:$DN$15)+SUMIF(Data!$DM$1:$DM$15,"GI",Data!$DN$1:$DN$15))/1000000</f>
        <v>3141.5677446700001</v>
      </c>
      <c r="E145" s="206">
        <f t="shared" si="12"/>
        <v>-0.5428405447450052</v>
      </c>
      <c r="F145" s="132">
        <v>7396</v>
      </c>
      <c r="G145" s="132">
        <v>14278</v>
      </c>
      <c r="H145" s="30">
        <v>35048</v>
      </c>
      <c r="I145" s="30">
        <v>25745</v>
      </c>
    </row>
    <row r="146" spans="1:9" ht="13.8" x14ac:dyDescent="0.25">
      <c r="A146" s="172" t="s">
        <v>25</v>
      </c>
      <c r="B146" s="145">
        <f>SUM(B141:B145)</f>
        <v>445.96267955000002</v>
      </c>
      <c r="C146" s="145">
        <f>SUM(C141:C145)</f>
        <v>3311.9929123800002</v>
      </c>
      <c r="D146" s="145">
        <f>SUM(D141:D145)</f>
        <v>5695.4437867699999</v>
      </c>
      <c r="E146" s="219">
        <f>IFERROR(IF(OR(AND(D146="",C146=""),AND(D146=0,C146=0)),0,
IF(OR(D146="",D146=0),1,
IF(OR(D146&lt;&gt;"",D146&lt;&gt;0),(C146-D146)/ABS(D146)))),-1)</f>
        <v>-0.41848378521907986</v>
      </c>
      <c r="F146" s="145">
        <v>13297</v>
      </c>
      <c r="G146" s="145">
        <v>25422</v>
      </c>
      <c r="H146" s="145">
        <v>70225</v>
      </c>
      <c r="I146" s="145">
        <v>35847</v>
      </c>
    </row>
    <row r="147" spans="1:9" ht="13.8" thickBot="1" x14ac:dyDescent="0.3">
      <c r="A147" s="75"/>
      <c r="B147" s="77"/>
      <c r="C147" s="77"/>
      <c r="D147" s="77"/>
      <c r="E147" s="75"/>
      <c r="F147" s="77"/>
      <c r="G147" s="77"/>
      <c r="H147" s="77"/>
      <c r="I147" s="77"/>
    </row>
    <row r="148" spans="1:9" ht="13.8" thickTop="1" x14ac:dyDescent="0.25">
      <c r="A148" s="15" t="s">
        <v>154</v>
      </c>
      <c r="B148" s="13"/>
    </row>
    <row r="150" spans="1:9" ht="13.8" thickBot="1" x14ac:dyDescent="0.3">
      <c r="A150" s="85" t="s">
        <v>26</v>
      </c>
      <c r="B150" s="79"/>
      <c r="C150" s="79"/>
      <c r="D150" s="79"/>
      <c r="E150" s="79"/>
      <c r="F150" s="79"/>
      <c r="G150" s="79"/>
      <c r="H150" s="79"/>
      <c r="I150" s="79"/>
    </row>
    <row r="151" spans="1:9" ht="13.8" x14ac:dyDescent="0.25">
      <c r="A151" s="130"/>
      <c r="B151" s="168" t="s">
        <v>1</v>
      </c>
      <c r="C151" s="168" t="s">
        <v>159</v>
      </c>
      <c r="D151" s="168" t="s">
        <v>159</v>
      </c>
      <c r="E151" s="168" t="s">
        <v>27</v>
      </c>
      <c r="F151" s="198"/>
      <c r="G151" s="130"/>
      <c r="H151" s="130"/>
      <c r="I151" s="130"/>
    </row>
    <row r="152" spans="1:9" ht="13.8" x14ac:dyDescent="0.25">
      <c r="A152" s="130"/>
      <c r="B152" s="168" t="s">
        <v>3</v>
      </c>
      <c r="C152" s="168" t="s">
        <v>158</v>
      </c>
      <c r="D152" s="168" t="s">
        <v>158</v>
      </c>
      <c r="E152" s="168" t="s">
        <v>5</v>
      </c>
      <c r="F152" s="198"/>
      <c r="G152" s="130"/>
      <c r="H152" s="130"/>
      <c r="I152" s="130"/>
    </row>
    <row r="153" spans="1:9" ht="14.4" thickBot="1" x14ac:dyDescent="0.3">
      <c r="A153" s="178"/>
      <c r="B153" s="169" t="str">
        <f>TEXT($H$3,"MMM")&amp;" "&amp;TEXT($H$3,"YYYY")</f>
        <v>May 2023</v>
      </c>
      <c r="C153" s="169" t="str">
        <f>TEXT($H$3,"YYYY")</f>
        <v>2023</v>
      </c>
      <c r="D153" s="169">
        <f>TEXT($H$3,"YYYY")-1</f>
        <v>2022</v>
      </c>
      <c r="E153" s="170" t="s">
        <v>6</v>
      </c>
      <c r="F153" s="170">
        <f>TEXT($H$3,"YYYY")-1</f>
        <v>2022</v>
      </c>
      <c r="G153" s="170">
        <f>TEXT($H$3,"YYYY")-2</f>
        <v>2021</v>
      </c>
      <c r="H153" s="170">
        <f>TEXT($H$3,"YYYY")-3</f>
        <v>2020</v>
      </c>
      <c r="I153" s="170">
        <f>TEXT($H$3,"YYYY")-4</f>
        <v>2019</v>
      </c>
    </row>
    <row r="154" spans="1:9" ht="13.8" x14ac:dyDescent="0.25">
      <c r="A154" s="18" t="s">
        <v>152</v>
      </c>
      <c r="B154" s="171">
        <f>250*Data!CE9/Data!CH2/Data!CD18</f>
        <v>0.28779562192153257</v>
      </c>
      <c r="C154" s="171">
        <v>0.28570000000000001</v>
      </c>
      <c r="D154" s="171">
        <v>0.32569999999999999</v>
      </c>
      <c r="E154" s="171">
        <f>IFERROR(IF(OR(AND(D154="",C154=""),AND(D154=0,C154=0)),"",
IF(OR(D154="",D154=0),1,
IF(OR(D154&lt;&gt;"",D154&lt;&gt;0),(C154-D154)/ABS(D154)))),-1)</f>
        <v>-0.12281240405280927</v>
      </c>
      <c r="F154" s="229">
        <v>28.37</v>
      </c>
      <c r="G154" s="229">
        <v>31.9</v>
      </c>
      <c r="H154" s="229">
        <v>37.200000000000003</v>
      </c>
      <c r="I154" s="229">
        <v>35.9</v>
      </c>
    </row>
    <row r="155" spans="1:9" ht="13.8" x14ac:dyDescent="0.25">
      <c r="A155" t="s">
        <v>153</v>
      </c>
      <c r="B155" s="171">
        <f>250*(Data!C2-Data!H2)/Data!CH2/Data!CD18</f>
        <v>0.26877547747096875</v>
      </c>
      <c r="C155" s="171">
        <v>0.2596</v>
      </c>
      <c r="D155" s="171">
        <v>0.2954</v>
      </c>
      <c r="E155" s="171">
        <f>IFERROR(IF(OR(AND(D155="",C155=""),AND(D155=0,C155=0)),"",
IF(OR(D155="",D155=0),1,
IF(OR(D155&lt;&gt;"",D155&lt;&gt;0),(C155-D155)/ABS(D155)))),-1)</f>
        <v>-0.12119160460392688</v>
      </c>
      <c r="F155" s="229">
        <v>25.669999999999998</v>
      </c>
      <c r="G155" s="229">
        <v>28.9</v>
      </c>
      <c r="H155" s="229">
        <v>34.9</v>
      </c>
      <c r="I155" s="229">
        <v>34.200000000000003</v>
      </c>
    </row>
    <row r="156" spans="1:9" ht="13.8" thickBot="1" x14ac:dyDescent="0.3">
      <c r="A156" s="74"/>
      <c r="B156" s="93"/>
      <c r="C156" s="93"/>
      <c r="D156" s="92"/>
      <c r="E156" s="74"/>
      <c r="F156" s="95"/>
      <c r="G156" s="95"/>
      <c r="H156" s="95"/>
      <c r="I156" s="95"/>
    </row>
    <row r="157" spans="1:9" ht="13.8" thickTop="1" x14ac:dyDescent="0.25">
      <c r="A157" s="15" t="s">
        <v>724</v>
      </c>
      <c r="B157" s="29"/>
      <c r="C157" s="36"/>
      <c r="D157" s="32"/>
      <c r="E157" s="36"/>
      <c r="F157" s="36"/>
      <c r="G157" s="36"/>
      <c r="H157" s="29"/>
      <c r="I157" s="29"/>
    </row>
    <row r="159" spans="1:9" x14ac:dyDescent="0.25">
      <c r="B159" s="1"/>
      <c r="C159" s="1"/>
      <c r="D159" s="1" t="s">
        <v>131</v>
      </c>
      <c r="E159" s="1"/>
      <c r="F159" s="1"/>
      <c r="G159" s="1"/>
      <c r="H159" s="1"/>
      <c r="I159" s="1"/>
    </row>
    <row r="160" spans="1:9" ht="13.8" thickBot="1" x14ac:dyDescent="0.3">
      <c r="A160" s="85" t="s">
        <v>132</v>
      </c>
      <c r="B160" s="80"/>
      <c r="C160" s="80"/>
      <c r="D160" s="80"/>
      <c r="E160" s="80"/>
      <c r="F160" s="80"/>
      <c r="G160" s="80"/>
      <c r="H160" s="80"/>
      <c r="I160" s="80"/>
    </row>
    <row r="161" spans="1:9" ht="13.8" x14ac:dyDescent="0.25">
      <c r="A161" s="130"/>
      <c r="B161" s="168" t="s">
        <v>1</v>
      </c>
      <c r="C161" s="168" t="s">
        <v>159</v>
      </c>
      <c r="D161" s="168" t="s">
        <v>159</v>
      </c>
      <c r="E161" s="168" t="s">
        <v>27</v>
      </c>
      <c r="F161" s="198"/>
      <c r="G161" s="130"/>
      <c r="H161" s="130"/>
      <c r="I161" s="130"/>
    </row>
    <row r="162" spans="1:9" ht="13.8" x14ac:dyDescent="0.25">
      <c r="A162" s="130"/>
      <c r="B162" s="168" t="s">
        <v>3</v>
      </c>
      <c r="C162" s="168" t="s">
        <v>4</v>
      </c>
      <c r="D162" s="168" t="s">
        <v>158</v>
      </c>
      <c r="E162" s="168" t="s">
        <v>5</v>
      </c>
      <c r="F162" s="198"/>
      <c r="G162" s="130"/>
      <c r="H162" s="130"/>
      <c r="I162" s="130"/>
    </row>
    <row r="163" spans="1:9" ht="14.4" thickBot="1" x14ac:dyDescent="0.3">
      <c r="A163" s="178"/>
      <c r="B163" s="169" t="str">
        <f>TEXT($H$3,"MMM")&amp;" "&amp;TEXT($H$3,"YYYY")</f>
        <v>May 2023</v>
      </c>
      <c r="C163" s="169" t="str">
        <f>TEXT($H$3,"YYYY")</f>
        <v>2023</v>
      </c>
      <c r="D163" s="169">
        <f>TEXT($H$3,"YYYY")-1</f>
        <v>2022</v>
      </c>
      <c r="E163" s="170" t="s">
        <v>6</v>
      </c>
      <c r="F163" s="170">
        <f>TEXT($H$3,"YYYY")-1</f>
        <v>2022</v>
      </c>
      <c r="G163" s="170">
        <f>TEXT($H$3,"YYYY")-2</f>
        <v>2021</v>
      </c>
      <c r="H163" s="170">
        <f>TEXT($H$3,"YYYY")-3</f>
        <v>2020</v>
      </c>
      <c r="I163" s="170">
        <f>TEXT($H$3,"YYYY")-4</f>
        <v>2019</v>
      </c>
    </row>
    <row r="164" spans="1:9" ht="13.8" x14ac:dyDescent="0.25">
      <c r="A164" s="191" t="s">
        <v>169</v>
      </c>
      <c r="B164" s="18"/>
      <c r="C164" s="18"/>
      <c r="D164" s="18"/>
      <c r="E164" s="18"/>
      <c r="F164" s="18"/>
      <c r="G164" s="18"/>
      <c r="H164" s="18"/>
      <c r="I164" s="18"/>
    </row>
    <row r="165" spans="1:9" ht="13.8" x14ac:dyDescent="0.25">
      <c r="A165" s="18" t="s">
        <v>29</v>
      </c>
      <c r="B165" s="30">
        <f ca="1">SUMIF(Data!$BT$1:$BT$7,"&lt;&gt;AltX",Data!$BU$1:$BU$6)</f>
        <v>267</v>
      </c>
      <c r="C165" s="30">
        <f>SUMIF(Data!$BT$9:$BT$14,"&lt;&gt;AltX",Data!BU9:BU14)</f>
        <v>267</v>
      </c>
      <c r="D165" s="30">
        <f>SUMIF(Data!$BT$17:$BT$23,"&lt;&gt;AltX",Data!$BU$17:$BU$24)</f>
        <v>278</v>
      </c>
      <c r="E165" s="171">
        <f>IFERROR(IF(OR(AND(D165="",C165=""),AND(D165=0,C165=0)),"",
IF(OR(D165="",D165=0),1,
IF(OR(D165&lt;&gt;"",D165&lt;&gt;0),(C165-D165)/ABS(D165)))),-1)</f>
        <v>-3.9568345323741004E-2</v>
      </c>
      <c r="F165" s="30">
        <v>271</v>
      </c>
      <c r="G165" s="30">
        <v>288</v>
      </c>
      <c r="H165" s="30">
        <v>300</v>
      </c>
      <c r="I165" s="30">
        <v>312</v>
      </c>
    </row>
    <row r="166" spans="1:9" ht="13.8" x14ac:dyDescent="0.25">
      <c r="A166" s="18" t="s">
        <v>30</v>
      </c>
      <c r="B166" s="30">
        <f ca="1">SUMIF(Data!$BT$1:$BT$7,"&lt;&gt;AltX",Data!$BV$1:$BV$6)</f>
        <v>0</v>
      </c>
      <c r="C166" s="30">
        <f>SUMIF(Data!$BT$9:$BT$14,"&lt;&gt;AltX",Data!BV9:BV14)</f>
        <v>1</v>
      </c>
      <c r="D166" s="30">
        <f>SUMIF(Data!$BT$17:$BT$23,"&lt;&gt;AltX",Data!$BV$17:$BV$23)</f>
        <v>2</v>
      </c>
      <c r="E166" s="171">
        <f t="shared" ref="E166:E167" si="13">IFERROR(IF(OR(AND(D166="",C166=""),AND(D166=0,C166=0)),"",
IF(OR(D166="",D166=0),1,
IF(OR(D166&lt;&gt;"",D166&lt;&gt;0),(C166-D166)/ABS(D166)))),-1)</f>
        <v>-0.5</v>
      </c>
      <c r="F166" s="30">
        <v>4</v>
      </c>
      <c r="G166" s="30">
        <v>9</v>
      </c>
      <c r="H166" s="30">
        <v>5</v>
      </c>
      <c r="I166" s="30">
        <v>6</v>
      </c>
    </row>
    <row r="167" spans="1:9" ht="13.8" x14ac:dyDescent="0.25">
      <c r="A167" s="18" t="s">
        <v>31</v>
      </c>
      <c r="B167" s="30">
        <f ca="1">SUMIF(Data!$BT$1:$BT$7,"&lt;&gt;AltX",Data!$BW$1:$BW$6)</f>
        <v>3</v>
      </c>
      <c r="C167" s="30">
        <f>SUMIF(Data!$BT$9:$BT$14,"&lt;&gt;AltX",Data!BW9:BW14)</f>
        <v>6</v>
      </c>
      <c r="D167" s="30">
        <f>SUMIF(Data!$BT$17:$BT$23,"&lt;&gt;AltX",Data!$BW$17:$BW$23)</f>
        <v>12</v>
      </c>
      <c r="E167" s="171">
        <f t="shared" si="13"/>
        <v>-0.5</v>
      </c>
      <c r="F167" s="30">
        <v>21</v>
      </c>
      <c r="G167" s="30">
        <v>20</v>
      </c>
      <c r="H167" s="30">
        <v>17</v>
      </c>
      <c r="I167" s="30">
        <v>20</v>
      </c>
    </row>
    <row r="168" spans="1:9" ht="13.8" x14ac:dyDescent="0.25">
      <c r="A168" s="18"/>
      <c r="B168" s="30"/>
      <c r="C168" s="30"/>
      <c r="D168" s="30"/>
      <c r="E168" s="199"/>
      <c r="F168" s="30"/>
      <c r="G168" s="30"/>
      <c r="H168" s="30"/>
      <c r="I168" s="30"/>
    </row>
    <row r="169" spans="1:9" ht="13.8" x14ac:dyDescent="0.25">
      <c r="A169" s="172" t="s">
        <v>125</v>
      </c>
      <c r="B169" s="30"/>
      <c r="C169" s="30"/>
      <c r="D169" s="30"/>
      <c r="E169" s="199"/>
      <c r="F169" s="30"/>
      <c r="G169" s="30"/>
      <c r="H169" s="30"/>
      <c r="I169" s="30"/>
    </row>
    <row r="170" spans="1:9" ht="13.8" x14ac:dyDescent="0.25">
      <c r="A170" s="18" t="s">
        <v>29</v>
      </c>
      <c r="B170" s="30">
        <f ca="1">SUMIF(Data!$BT$1:$BT$7,"AltX",Data!$BU$1:$BU$6)</f>
        <v>30</v>
      </c>
      <c r="C170" s="30">
        <f>SUMIF(Data!$BT$9:$BT$14,"AltX",Data!BU9:BU14)</f>
        <v>30</v>
      </c>
      <c r="D170" s="30">
        <f>SUMIF(Data!$BT$17:$BT$23,"AltX",Data!$BU$17:$BU$24)</f>
        <v>34</v>
      </c>
      <c r="E170" s="171">
        <f t="shared" ref="E170:E171" si="14">IFERROR(IF(OR(AND(D170="",C170=""),AND(D170=0,C170=0)),"",
IF(OR(D170="",D170=0),1,
IF(OR(D170&lt;&gt;"",D170&lt;&gt;0),(C170-D170)/ABS(D170)))),-1)</f>
        <v>-0.11764705882352941</v>
      </c>
      <c r="F170" s="30">
        <v>33</v>
      </c>
      <c r="G170" s="30">
        <v>36</v>
      </c>
      <c r="H170" s="30">
        <v>39</v>
      </c>
      <c r="I170" s="30">
        <v>42</v>
      </c>
    </row>
    <row r="171" spans="1:9" ht="13.8" x14ac:dyDescent="0.25">
      <c r="A171" s="18" t="s">
        <v>30</v>
      </c>
      <c r="B171" s="30">
        <f ca="1">SUMIF(Data!$BT$1:$BT$7,"AltX",Data!$BV$1:$BV$6)</f>
        <v>0</v>
      </c>
      <c r="C171" s="30">
        <f>SUMIF(Data!$BT$9:$BT$14,"AltX",Data!BV9:BV14)</f>
        <v>1</v>
      </c>
      <c r="D171" s="30">
        <f>SUMIF(Data!$BT$17:$BT$23,"AltX",Data!$BV$17:$BV$23)</f>
        <v>0</v>
      </c>
      <c r="E171" s="171">
        <f t="shared" si="14"/>
        <v>1</v>
      </c>
      <c r="F171" s="231" t="s">
        <v>521</v>
      </c>
      <c r="G171" s="231" t="s">
        <v>519</v>
      </c>
      <c r="H171" s="231" t="s">
        <v>520</v>
      </c>
      <c r="I171" s="231" t="s">
        <v>500</v>
      </c>
    </row>
    <row r="172" spans="1:9" ht="13.8" x14ac:dyDescent="0.25">
      <c r="A172" s="18" t="s">
        <v>31</v>
      </c>
      <c r="B172" s="30">
        <f ca="1">SUMIF(Data!$BT$1:$BT$7,"AltX",Data!$BW$1:$BW$6)</f>
        <v>1</v>
      </c>
      <c r="C172" s="30">
        <f>SUMIF(Data!$BT$9:$BT$14,"AltX",Data!BW9:BW14)</f>
        <v>3</v>
      </c>
      <c r="D172" s="30">
        <f>SUMIF(Data!$BT$17:$BT$23,"AltX",Data!$BW$17:$BW$23)</f>
        <v>2</v>
      </c>
      <c r="E172" s="171">
        <f t="shared" ref="E172" ca="1" si="15">IFERROR(IF(OR(AND(C172="",B172=""),AND(C172=0,B172=0)),"",
IF(OR(C172="",C172=0),1,
IF(OR(C172&lt;&gt;"",C172&lt;&gt;0),(B172-C172)/ABS(C172)))),-1)</f>
        <v>-0.66666666666666663</v>
      </c>
      <c r="F172" s="30">
        <v>3</v>
      </c>
      <c r="G172" s="30">
        <v>4</v>
      </c>
      <c r="H172" s="30">
        <v>2</v>
      </c>
      <c r="I172" s="30">
        <v>4</v>
      </c>
    </row>
    <row r="173" spans="1:9" ht="13.8" x14ac:dyDescent="0.25">
      <c r="A173" s="18"/>
      <c r="B173" s="30"/>
      <c r="C173" s="30"/>
      <c r="D173" s="30"/>
      <c r="E173" s="199"/>
      <c r="F173" s="30"/>
      <c r="G173" s="30"/>
      <c r="H173" s="30"/>
      <c r="I173" s="30"/>
    </row>
    <row r="174" spans="1:9" ht="13.8" x14ac:dyDescent="0.25">
      <c r="A174" s="172" t="s">
        <v>32</v>
      </c>
      <c r="B174" s="30"/>
      <c r="C174" s="30"/>
      <c r="D174" s="30"/>
      <c r="E174" s="199"/>
      <c r="F174" s="30"/>
      <c r="G174" s="30"/>
      <c r="H174" s="30"/>
      <c r="I174" s="30"/>
    </row>
    <row r="175" spans="1:9" ht="13.8" x14ac:dyDescent="0.25">
      <c r="A175" s="18" t="s">
        <v>30</v>
      </c>
      <c r="B175" s="30">
        <f t="shared" ref="B175:D176" ca="1" si="16">B166+B171</f>
        <v>0</v>
      </c>
      <c r="C175" s="30">
        <f t="shared" si="16"/>
        <v>2</v>
      </c>
      <c r="D175" s="30">
        <f t="shared" si="16"/>
        <v>2</v>
      </c>
      <c r="E175" s="171">
        <f t="shared" ref="E175:E181" si="17">IFERROR(IF(OR(AND(D175="",C175=""),AND(D175=0,C175=0)),"",
IF(OR(D175="",D175=0),1,
IF(OR(D175&lt;&gt;"",D175&lt;&gt;0),(C175-D175)/ABS(D175)))),-1)</f>
        <v>0</v>
      </c>
      <c r="F175" s="30">
        <v>4</v>
      </c>
      <c r="G175" s="30">
        <v>9</v>
      </c>
      <c r="H175" s="30">
        <v>5</v>
      </c>
      <c r="I175" s="30">
        <v>6</v>
      </c>
    </row>
    <row r="176" spans="1:9" ht="13.8" x14ac:dyDescent="0.25">
      <c r="A176" s="18" t="s">
        <v>31</v>
      </c>
      <c r="B176" s="30">
        <f t="shared" ca="1" si="16"/>
        <v>4</v>
      </c>
      <c r="C176" s="30">
        <f t="shared" si="16"/>
        <v>9</v>
      </c>
      <c r="D176" s="30">
        <f t="shared" si="16"/>
        <v>14</v>
      </c>
      <c r="E176" s="171">
        <f>IFERROR(IF(OR(AND(D176="",C176=""),AND(D176=0,C176=0)),"",
IF(OR(D176="",D176=0),1,
IF(OR(D176&lt;&gt;"",D176&lt;&gt;0),(C176-D176)/ABS(D176)))),-1)</f>
        <v>-0.35714285714285715</v>
      </c>
      <c r="F176" s="30">
        <v>24</v>
      </c>
      <c r="G176" s="30">
        <v>24</v>
      </c>
      <c r="H176" s="30">
        <v>20</v>
      </c>
      <c r="I176" s="30">
        <v>24</v>
      </c>
    </row>
    <row r="177" spans="1:9" ht="13.8" x14ac:dyDescent="0.25">
      <c r="A177" s="18" t="s">
        <v>33</v>
      </c>
      <c r="B177" s="30">
        <f>SUM(Data!$CB$2:$CB$6)</f>
        <v>63</v>
      </c>
      <c r="C177" s="30">
        <f>SUM(Data!$CB$10:$CB$14)</f>
        <v>63</v>
      </c>
      <c r="D177" s="30">
        <f>SUM(Data!CB18:CB22)</f>
        <v>70</v>
      </c>
      <c r="E177" s="171">
        <f t="shared" si="17"/>
        <v>-0.1</v>
      </c>
      <c r="F177" s="30">
        <v>67</v>
      </c>
      <c r="G177" s="30">
        <v>72</v>
      </c>
      <c r="H177" s="30">
        <v>69</v>
      </c>
      <c r="I177" s="30">
        <v>71</v>
      </c>
    </row>
    <row r="178" spans="1:9" ht="13.8" x14ac:dyDescent="0.25">
      <c r="A178" s="18" t="s">
        <v>34</v>
      </c>
      <c r="B178" s="30">
        <f>SUM(Data!$CA$2:$CA$6)</f>
        <v>234</v>
      </c>
      <c r="C178" s="30">
        <f>SUM(Data!$CA$10:$CA$14)</f>
        <v>234</v>
      </c>
      <c r="D178" s="30">
        <f>SUM(Data!CA18:CA22)</f>
        <v>242</v>
      </c>
      <c r="E178" s="171">
        <f t="shared" si="17"/>
        <v>-3.3057851239669422E-2</v>
      </c>
      <c r="F178" s="30">
        <v>237</v>
      </c>
      <c r="G178" s="30">
        <v>252</v>
      </c>
      <c r="H178" s="30">
        <v>270</v>
      </c>
      <c r="I178" s="30">
        <v>283</v>
      </c>
    </row>
    <row r="179" spans="1:9" ht="13.8" x14ac:dyDescent="0.25">
      <c r="A179" s="172" t="s">
        <v>35</v>
      </c>
      <c r="B179" s="145">
        <f ca="1">B165+B170</f>
        <v>297</v>
      </c>
      <c r="C179" s="145">
        <f>C165+C170</f>
        <v>297</v>
      </c>
      <c r="D179" s="145">
        <f>D165+D170</f>
        <v>312</v>
      </c>
      <c r="E179" s="200">
        <f t="shared" si="17"/>
        <v>-4.807692307692308E-2</v>
      </c>
      <c r="F179" s="145">
        <v>304</v>
      </c>
      <c r="G179" s="145">
        <v>324</v>
      </c>
      <c r="H179" s="145">
        <v>339</v>
      </c>
      <c r="I179" s="145">
        <v>354</v>
      </c>
    </row>
    <row r="180" spans="1:9" ht="13.8" x14ac:dyDescent="0.25">
      <c r="A180" s="172"/>
      <c r="B180" s="30"/>
      <c r="C180" s="30"/>
      <c r="D180" s="145"/>
      <c r="E180" s="18"/>
      <c r="F180" s="30"/>
      <c r="G180" s="30"/>
      <c r="H180" s="30"/>
      <c r="I180" s="30"/>
    </row>
    <row r="181" spans="1:9" ht="13.8" x14ac:dyDescent="0.25">
      <c r="A181" s="172" t="s">
        <v>36</v>
      </c>
      <c r="B181" s="145">
        <f>Data!CD2</f>
        <v>1373</v>
      </c>
      <c r="C181" s="145">
        <f>Data!CD2</f>
        <v>1373</v>
      </c>
      <c r="D181" s="145">
        <f>Data!CD5</f>
        <v>1189</v>
      </c>
      <c r="E181" s="200">
        <f t="shared" si="17"/>
        <v>0.15475189234650968</v>
      </c>
      <c r="F181" s="145">
        <v>1226</v>
      </c>
      <c r="G181" s="145">
        <v>1108</v>
      </c>
      <c r="H181" s="145">
        <v>1003</v>
      </c>
      <c r="I181" s="145">
        <v>946</v>
      </c>
    </row>
    <row r="182" spans="1:9" ht="13.8" x14ac:dyDescent="0.25">
      <c r="A182" s="172"/>
      <c r="B182" s="30"/>
      <c r="C182" s="30"/>
      <c r="D182" s="30"/>
      <c r="E182" s="18"/>
      <c r="F182" s="18"/>
      <c r="G182" s="18"/>
      <c r="H182" s="18"/>
      <c r="I182" s="18"/>
    </row>
    <row r="183" spans="1:9" ht="13.8" x14ac:dyDescent="0.25">
      <c r="A183" s="1" t="s">
        <v>37</v>
      </c>
      <c r="B183" s="201">
        <f>Data!CE2/1000000000</f>
        <v>21275.756313081663</v>
      </c>
      <c r="C183" s="201"/>
      <c r="D183" s="201">
        <f>Data!CE5/1000000000</f>
        <v>20841.670833097302</v>
      </c>
      <c r="E183" s="200">
        <f>IFERROR(IF(OR(AND(D183="",B183=""),AND(D183=0,B183=0)),"",
IF(OR(D183="",D183=0),1,
IF(OR(D183&lt;&gt;"",D183&lt;&gt;0),(B183-D183)/ABS(D183)))),-1)</f>
        <v>2.0827767766825055E-2</v>
      </c>
      <c r="F183" s="201">
        <v>21337.89</v>
      </c>
      <c r="G183" s="201">
        <v>20499.78</v>
      </c>
      <c r="H183" s="201">
        <v>17854.04</v>
      </c>
      <c r="I183" s="201">
        <v>17440.28</v>
      </c>
    </row>
    <row r="184" spans="1:9" ht="13.8" thickBot="1" x14ac:dyDescent="0.3">
      <c r="A184" s="74"/>
      <c r="B184" s="92"/>
      <c r="C184" s="92"/>
      <c r="D184" s="92"/>
      <c r="E184" s="92"/>
      <c r="F184" s="76"/>
      <c r="G184" s="92"/>
      <c r="H184" s="92"/>
      <c r="I184" s="92"/>
    </row>
    <row r="185" spans="1:9" ht="13.8" thickTop="1" x14ac:dyDescent="0.25">
      <c r="A185" s="15" t="s">
        <v>155</v>
      </c>
      <c r="C185" s="13"/>
      <c r="D185" s="13"/>
      <c r="E185" s="13"/>
      <c r="F185" s="13"/>
      <c r="G185" s="13"/>
      <c r="H185" s="13"/>
      <c r="I185" s="13"/>
    </row>
    <row r="231" spans="1:9" ht="12.75" customHeight="1" x14ac:dyDescent="0.25">
      <c r="E231" s="87"/>
      <c r="F231" s="87"/>
      <c r="G231" s="87"/>
      <c r="H231" s="87"/>
      <c r="I231" s="87"/>
    </row>
    <row r="232" spans="1:9" ht="12.75" customHeight="1" x14ac:dyDescent="0.25">
      <c r="A232" s="1" t="str">
        <f>"Market Profile - "&amp; TEXT($H$3,"MMM")&amp;" "&amp;TEXT($H$3,"YYYY")</f>
        <v>Market Profile - May 2023</v>
      </c>
      <c r="E232" s="235" t="s">
        <v>178</v>
      </c>
      <c r="F232" s="235"/>
      <c r="G232" s="235"/>
      <c r="H232" s="235"/>
      <c r="I232" s="87"/>
    </row>
    <row r="233" spans="1:9" ht="13.8" thickBot="1" x14ac:dyDescent="0.3">
      <c r="A233" s="79"/>
      <c r="B233" s="79"/>
      <c r="C233" s="79"/>
      <c r="D233" s="79"/>
      <c r="E233" s="240"/>
      <c r="F233" s="240"/>
      <c r="G233" s="240"/>
      <c r="H233" s="240"/>
      <c r="I233" s="79"/>
    </row>
    <row r="234" spans="1:9" ht="13.8" x14ac:dyDescent="0.25">
      <c r="A234" s="130"/>
      <c r="B234" s="130"/>
      <c r="C234" s="130"/>
      <c r="D234" s="113"/>
      <c r="E234" s="133"/>
      <c r="F234" s="130"/>
      <c r="G234" s="243" t="s">
        <v>180</v>
      </c>
      <c r="H234" s="243" t="s">
        <v>179</v>
      </c>
      <c r="I234" s="188"/>
    </row>
    <row r="235" spans="1:9" ht="12.75" customHeight="1" x14ac:dyDescent="0.25">
      <c r="A235" s="130"/>
      <c r="B235" s="130"/>
      <c r="C235" s="130"/>
      <c r="D235" s="113"/>
      <c r="E235" s="243" t="s">
        <v>39</v>
      </c>
      <c r="F235" s="248" t="str">
        <f>"Index Close   "&amp;TEXT($H$3,"MMM")&amp;" "&amp;TEXT($H$3,"YYYY")</f>
        <v>Index Close   May 2023</v>
      </c>
      <c r="G235" s="243"/>
      <c r="H235" s="243"/>
      <c r="I235" s="250" t="s">
        <v>40</v>
      </c>
    </row>
    <row r="236" spans="1:9" ht="14.4" thickBot="1" x14ac:dyDescent="0.3">
      <c r="A236" s="202"/>
      <c r="B236" s="203"/>
      <c r="C236" s="203"/>
      <c r="D236" s="125"/>
      <c r="E236" s="244"/>
      <c r="F236" s="249"/>
      <c r="G236" s="244"/>
      <c r="H236" s="244"/>
      <c r="I236" s="251"/>
    </row>
    <row r="237" spans="1:9" ht="13.8" x14ac:dyDescent="0.25">
      <c r="A237" s="204" t="s">
        <v>38</v>
      </c>
      <c r="B237" s="204"/>
      <c r="C237" s="204"/>
      <c r="D237" s="204"/>
      <c r="E237" s="204"/>
      <c r="F237" s="204"/>
      <c r="G237" s="204"/>
      <c r="H237" s="204"/>
      <c r="I237" s="204"/>
    </row>
    <row r="238" spans="1:9" ht="13.8" x14ac:dyDescent="0.25">
      <c r="A238" s="18" t="s">
        <v>41</v>
      </c>
      <c r="B238" s="18"/>
      <c r="C238" s="115"/>
      <c r="D238" s="115"/>
      <c r="E238" s="18" t="s">
        <v>42</v>
      </c>
      <c r="F238" s="115">
        <f>IFERROR(VLOOKUP(E238,Data!$G$23:$H$196,2,FALSE),0)</f>
        <v>75067.471936119997</v>
      </c>
      <c r="G238" s="171">
        <f>IF(IFERROR(VLOOKUP(E238,Data!$O$23:$P$196,2,FALSE),0)=0,0,(F238-IFERROR(VLOOKUP(E238,Data!$O$23:$P$196,2,FALSE),0))/ABS(IFERROR(VLOOKUP(E238,Data!$O$23:$P$196,2,FALSE),0)))</f>
        <v>-4.0283355366590543E-2</v>
      </c>
      <c r="H238" s="115">
        <f>VLOOKUP(E238,Data!$B$23:$E$400,3,FALSE)</f>
        <v>80791.355453979995</v>
      </c>
      <c r="I238" s="205">
        <f>VLOOKUP(E238,Data!$B$23:$E$400,2,FALSE)</f>
        <v>44953</v>
      </c>
    </row>
    <row r="239" spans="1:9" ht="13.8" x14ac:dyDescent="0.25">
      <c r="A239" s="18" t="s">
        <v>43</v>
      </c>
      <c r="B239" s="18"/>
      <c r="C239" s="115"/>
      <c r="D239" s="115"/>
      <c r="E239" s="18" t="s">
        <v>44</v>
      </c>
      <c r="F239" s="115">
        <f>IFERROR(VLOOKUP(E239,Data!$G$23:$H$196,2,FALSE),0)</f>
        <v>71517.541400300004</v>
      </c>
      <c r="G239" s="171">
        <f>IF(IFERROR(VLOOKUP(E239,Data!$O$23:$P$196,2,FALSE),0)=0,0,(F239-IFERROR(VLOOKUP(E239,Data!$O$23:$P$196,2,FALSE),0))/ABS(IFERROR(VLOOKUP(E239,Data!$O$23:$P$196,2,FALSE),0)))</f>
        <v>-8.0031916085355329E-2</v>
      </c>
      <c r="H239" s="115">
        <f>VLOOKUP(E239,Data!$B$23:$E$400,3,FALSE)</f>
        <v>84924.77169727</v>
      </c>
      <c r="I239" s="205">
        <f>VLOOKUP(E239,Data!$B$23:$E$400,2,FALSE)</f>
        <v>44652</v>
      </c>
    </row>
    <row r="240" spans="1:9" ht="13.8" x14ac:dyDescent="0.25">
      <c r="A240" s="18" t="s">
        <v>45</v>
      </c>
      <c r="B240" s="18"/>
      <c r="C240" s="116"/>
      <c r="D240" s="116"/>
      <c r="E240" s="18" t="s">
        <v>46</v>
      </c>
      <c r="F240" s="116">
        <f>IFERROR(VLOOKUP(E240,Data!$G$23:$H$196,2,FALSE),0)</f>
        <v>65715.51851347</v>
      </c>
      <c r="G240" s="206">
        <f>IF(IFERROR(VLOOKUP(E240,Data!$O$23:$P$196,2,FALSE),0)=0,0,(F240-IFERROR(VLOOKUP(E240,Data!$O$23:$P$196,2,FALSE),0))/ABS(IFERROR(VLOOKUP(E240,Data!$O$23:$P$196,2,FALSE),0)))</f>
        <v>-5.4307924504287682E-2</v>
      </c>
      <c r="H240" s="115">
        <f>VLOOKUP(E240,Data!$B$23:$E$400,3,FALSE)</f>
        <v>71814.849617810003</v>
      </c>
      <c r="I240" s="205">
        <f>VLOOKUP(E240,Data!$B$23:$E$400,2,FALSE)</f>
        <v>44960</v>
      </c>
    </row>
    <row r="241" spans="1:9" ht="13.8" x14ac:dyDescent="0.25">
      <c r="A241" s="18" t="s">
        <v>47</v>
      </c>
      <c r="B241" s="18"/>
      <c r="C241" s="115"/>
      <c r="D241" s="115"/>
      <c r="E241" s="18" t="s">
        <v>48</v>
      </c>
      <c r="F241" s="115">
        <f>IFERROR(VLOOKUP(E241,Data!$G$23:$H$196,2,FALSE),0)</f>
        <v>7706.9629988099996</v>
      </c>
      <c r="G241" s="171">
        <f>IF(IFERROR(VLOOKUP(E241,Data!$O$23:$P$196,2,FALSE),0)=0,0,(F241-IFERROR(VLOOKUP(E241,Data!$O$23:$P$196,2,FALSE),0))/ABS(IFERROR(VLOOKUP(E241,Data!$O$23:$P$196,2,FALSE),0)))</f>
        <v>-3.9081124064798405E-2</v>
      </c>
      <c r="H241" s="115">
        <f>VLOOKUP(E241,Data!$B$23:$E$400,3,FALSE)</f>
        <v>8955.0713737599999</v>
      </c>
      <c r="I241" s="205">
        <f>VLOOKUP(E241,Data!$B$23:$E$400,2,FALSE)</f>
        <v>44578</v>
      </c>
    </row>
    <row r="242" spans="1:9" ht="13.8" x14ac:dyDescent="0.25">
      <c r="A242" s="18" t="s">
        <v>49</v>
      </c>
      <c r="B242" s="18"/>
      <c r="C242" s="115"/>
      <c r="D242" s="115"/>
      <c r="E242" s="18" t="s">
        <v>50</v>
      </c>
      <c r="F242" s="115">
        <f>IFERROR(VLOOKUP(E242,Data!$G$23:$H$196,2,FALSE),0)</f>
        <v>37212.773748699998</v>
      </c>
      <c r="G242" s="171">
        <f>IF(IFERROR(VLOOKUP(E242,Data!$O$23:$P$196,2,FALSE),0)=0,0,(F242-IFERROR(VLOOKUP(E242,Data!$O$23:$P$196,2,FALSE),0))/ABS(IFERROR(VLOOKUP(E242,Data!$O$23:$P$196,2,FALSE),0)))</f>
        <v>-4.6548018954090428E-2</v>
      </c>
      <c r="H242" s="115">
        <f>VLOOKUP(E242,Data!$B$23:$E$400,3,FALSE)</f>
        <v>40669.345547819998</v>
      </c>
      <c r="I242" s="205">
        <f>VLOOKUP(E242,Data!$B$23:$E$400,2,FALSE)</f>
        <v>44953</v>
      </c>
    </row>
    <row r="243" spans="1:9" ht="13.8" x14ac:dyDescent="0.25">
      <c r="A243" s="18" t="s">
        <v>51</v>
      </c>
      <c r="B243" s="18"/>
      <c r="C243" s="115"/>
      <c r="D243" s="115"/>
      <c r="E243" s="18" t="s">
        <v>52</v>
      </c>
      <c r="F243" s="115">
        <f>IFERROR(VLOOKUP(E243,Data!$G$23:$H$196,2,FALSE),0)</f>
        <v>13719.81231997</v>
      </c>
      <c r="G243" s="171">
        <f>IF(IFERROR(VLOOKUP(E243,Data!$O$23:$P$196,2,FALSE),0)=0,0,(F243-IFERROR(VLOOKUP(E243,Data!$O$23:$P$196,2,FALSE),0))/ABS(IFERROR(VLOOKUP(E243,Data!$O$23:$P$196,2,FALSE),0)))</f>
        <v>-5.9872059411893573E-2</v>
      </c>
      <c r="H243" s="115">
        <f>VLOOKUP(E243,Data!$B$23:$E$400,3,FALSE)</f>
        <v>15215.25711737</v>
      </c>
      <c r="I243" s="205">
        <f>VLOOKUP(E243,Data!$B$23:$E$400,2,FALSE)</f>
        <v>44953</v>
      </c>
    </row>
    <row r="244" spans="1:9" ht="13.8" x14ac:dyDescent="0.25">
      <c r="A244" s="18"/>
      <c r="B244" s="18"/>
      <c r="C244" s="115"/>
      <c r="D244" s="115"/>
      <c r="E244" s="18"/>
      <c r="F244" s="115"/>
      <c r="G244" s="115"/>
      <c r="H244" s="115"/>
      <c r="I244" s="205"/>
    </row>
    <row r="245" spans="1:9" ht="13.8" x14ac:dyDescent="0.25">
      <c r="A245" s="204" t="s">
        <v>53</v>
      </c>
      <c r="B245" s="204"/>
      <c r="C245" s="204"/>
      <c r="D245" s="204"/>
      <c r="E245" s="204"/>
      <c r="F245" s="204"/>
      <c r="G245" s="204"/>
      <c r="H245" s="204"/>
      <c r="I245" s="204"/>
    </row>
    <row r="246" spans="1:9" ht="13.8" x14ac:dyDescent="0.25">
      <c r="A246" s="18" t="s">
        <v>54</v>
      </c>
      <c r="B246" s="18"/>
      <c r="C246" s="115"/>
      <c r="D246" s="115"/>
      <c r="E246" s="18" t="s">
        <v>55</v>
      </c>
      <c r="F246" s="115">
        <f>IFERROR(VLOOKUP(E246,Data!$G$23:$H$196,2,FALSE),0)</f>
        <v>69997.839210759994</v>
      </c>
      <c r="G246" s="171">
        <f>IF(IFERROR(VLOOKUP(E246,Data!$O$23:$P$196,2,FALSE),0)=0,0,(F246-IFERROR(VLOOKUP(E246,Data!$O$23:$P$196,2,FALSE),0))/ABS(IFERROR(VLOOKUP(E246,Data!$O$23:$P$196,2,FALSE),0)))</f>
        <v>-3.5614201772960145E-2</v>
      </c>
      <c r="H246" s="115">
        <f>VLOOKUP(E246,Data!$B$23:$E$400,3,FALSE)</f>
        <v>74766.053588709998</v>
      </c>
      <c r="I246" s="205">
        <f>VLOOKUP(E246,Data!$B$23:$E$400,2,FALSE)</f>
        <v>44953</v>
      </c>
    </row>
    <row r="247" spans="1:9" ht="13.8" x14ac:dyDescent="0.25">
      <c r="A247" s="18" t="s">
        <v>56</v>
      </c>
      <c r="B247" s="18"/>
      <c r="C247" s="115"/>
      <c r="D247" s="115"/>
      <c r="E247" s="18" t="s">
        <v>57</v>
      </c>
      <c r="F247" s="115">
        <f>IFERROR(VLOOKUP(E247,Data!$G$23:$H$196,2,FALSE),0)</f>
        <v>35119.239289240002</v>
      </c>
      <c r="G247" s="171">
        <f>IF(IFERROR(VLOOKUP(E247,Data!$O$23:$P$196,2,FALSE),0)=0,0,(F247-IFERROR(VLOOKUP(E247,Data!$O$23:$P$196,2,FALSE),0))/ABS(IFERROR(VLOOKUP(E247,Data!$O$23:$P$196,2,FALSE),0)))</f>
        <v>-4.4065847649360217E-2</v>
      </c>
      <c r="H247" s="115">
        <f>VLOOKUP(E247,Data!$B$23:$E$400,3,FALSE)</f>
        <v>38254.114314270002</v>
      </c>
      <c r="I247" s="205">
        <f>VLOOKUP(E247,Data!$B$23:$E$400,2,FALSE)</f>
        <v>44953</v>
      </c>
    </row>
    <row r="248" spans="1:9" ht="13.8" x14ac:dyDescent="0.25">
      <c r="A248" s="18" t="s">
        <v>58</v>
      </c>
      <c r="B248" s="18"/>
      <c r="C248" s="115"/>
      <c r="D248" s="115"/>
      <c r="E248" s="18" t="s">
        <v>59</v>
      </c>
      <c r="F248" s="115">
        <f>IFERROR(VLOOKUP(E248,Data!$G$23:$H$196,2,FALSE),0)</f>
        <v>12573.414097929999</v>
      </c>
      <c r="G248" s="171">
        <f>IF(IFERROR(VLOOKUP(E248,Data!$O$23:$P$196,2,FALSE),0)=0,0,(F248-IFERROR(VLOOKUP(E248,Data!$O$23:$P$196,2,FALSE),0))/ABS(IFERROR(VLOOKUP(E248,Data!$O$23:$P$196,2,FALSE),0)))</f>
        <v>-5.8059969244029064E-2</v>
      </c>
      <c r="H248" s="115">
        <f>VLOOKUP(E248,Data!$B$23:$E$400,3,FALSE)</f>
        <v>13930.171446300001</v>
      </c>
      <c r="I248" s="205">
        <f>VLOOKUP(E248,Data!$B$23:$E$400,2,FALSE)</f>
        <v>44953</v>
      </c>
    </row>
    <row r="249" spans="1:9" ht="13.8" x14ac:dyDescent="0.25">
      <c r="A249" s="18" t="s">
        <v>162</v>
      </c>
      <c r="B249" s="18"/>
      <c r="C249" s="115"/>
      <c r="D249" s="115"/>
      <c r="E249" s="18" t="s">
        <v>60</v>
      </c>
      <c r="F249" s="115">
        <f>IFERROR(VLOOKUP(E249,Data!$G$23:$H$196,2,FALSE),0)</f>
        <v>67511.618445989996</v>
      </c>
      <c r="G249" s="171">
        <f>IF(IFERROR(VLOOKUP(E249,Data!$O$23:$P$196,2,FALSE),0)=0,0,(F249-IFERROR(VLOOKUP(E249,Data!$O$23:$P$196,2,FALSE),0))/ABS(IFERROR(VLOOKUP(E249,Data!$O$23:$P$196,2,FALSE),0)))</f>
        <v>-2.1566842913484537E-2</v>
      </c>
      <c r="H249" s="115">
        <f>VLOOKUP(E249,Data!$B$23:$E$400,3,FALSE)</f>
        <v>88218.677054450003</v>
      </c>
      <c r="I249" s="205">
        <f>VLOOKUP(E249,Data!$B$23:$E$400,2,FALSE)</f>
        <v>44622</v>
      </c>
    </row>
    <row r="250" spans="1:9" ht="13.8" x14ac:dyDescent="0.25">
      <c r="A250" s="18" t="s">
        <v>61</v>
      </c>
      <c r="B250" s="18"/>
      <c r="C250" s="115"/>
      <c r="D250" s="115"/>
      <c r="E250" s="18" t="s">
        <v>62</v>
      </c>
      <c r="F250" s="115">
        <f>IFERROR(VLOOKUP(E250,Data!$G$23:$H$196,2,FALSE),0)</f>
        <v>0</v>
      </c>
      <c r="G250" s="171">
        <f>IF(IFERROR(VLOOKUP(E250,Data!$O$23:$P$196,2,FALSE),0)=0,0,(F250-IFERROR(VLOOKUP(E250,Data!$O$23:$P$196,2,FALSE),0))/ABS(IFERROR(VLOOKUP(E250,Data!$O$23:$P$196,2,FALSE),0)))</f>
        <v>0</v>
      </c>
      <c r="H250" s="115">
        <f>VLOOKUP(E250,Data!$B$23:$E$400,3,FALSE)</f>
        <v>6662.4654347699998</v>
      </c>
      <c r="I250" s="205">
        <f>VLOOKUP(E250,Data!$B$23:$E$400,2,FALSE)</f>
        <v>44039</v>
      </c>
    </row>
    <row r="251" spans="1:9" ht="13.8" x14ac:dyDescent="0.25">
      <c r="A251" s="18" t="s">
        <v>63</v>
      </c>
      <c r="B251" s="18"/>
      <c r="C251" s="115"/>
      <c r="D251" s="115"/>
      <c r="E251" s="18" t="s">
        <v>64</v>
      </c>
      <c r="F251" s="115">
        <f>IFERROR(VLOOKUP(E251,Data!$G$23:$H$196,2,FALSE),0)</f>
        <v>102774.26773235999</v>
      </c>
      <c r="G251" s="171">
        <f>IF(IFERROR(VLOOKUP(E251,Data!$O$23:$P$196,2,FALSE),0)=0,0,(F251-IFERROR(VLOOKUP(E251,Data!$O$23:$P$196,2,FALSE),0))/ABS(IFERROR(VLOOKUP(E251,Data!$O$23:$P$196,2,FALSE),0)))</f>
        <v>-3.0768671009783168E-2</v>
      </c>
      <c r="H251" s="115">
        <f>VLOOKUP(E251,Data!$B$23:$E$400,3,FALSE)</f>
        <v>109297.92139156</v>
      </c>
      <c r="I251" s="205">
        <f>VLOOKUP(E251,Data!$B$23:$E$400,2,FALSE)</f>
        <v>45063</v>
      </c>
    </row>
    <row r="252" spans="1:9" ht="13.8" x14ac:dyDescent="0.25">
      <c r="A252" s="18" t="s">
        <v>65</v>
      </c>
      <c r="B252" s="18"/>
      <c r="C252" s="115"/>
      <c r="D252" s="115"/>
      <c r="E252" s="18" t="s">
        <v>66</v>
      </c>
      <c r="F252" s="115">
        <f>IFERROR(VLOOKUP(E252,Data!$G$23:$H$196,2,FALSE),0)</f>
        <v>14415.27089912</v>
      </c>
      <c r="G252" s="171">
        <f>IF(IFERROR(VLOOKUP(E252,Data!$O$23:$P$196,2,FALSE),0)=0,0,(F252-IFERROR(VLOOKUP(E252,Data!$O$23:$P$196,2,FALSE),0))/ABS(IFERROR(VLOOKUP(E252,Data!$O$23:$P$196,2,FALSE),0)))</f>
        <v>-8.1532779077667789E-2</v>
      </c>
      <c r="H252" s="115">
        <f>VLOOKUP(E252,Data!$B$23:$E$400,3,FALSE)</f>
        <v>18847.577311370002</v>
      </c>
      <c r="I252" s="205">
        <f>VLOOKUP(E252,Data!$B$23:$E$400,2,FALSE)</f>
        <v>43165</v>
      </c>
    </row>
    <row r="253" spans="1:9" ht="13.8" x14ac:dyDescent="0.25">
      <c r="A253" s="18" t="s">
        <v>67</v>
      </c>
      <c r="B253" s="18"/>
      <c r="C253" s="115"/>
      <c r="D253" s="115"/>
      <c r="E253" s="18" t="s">
        <v>68</v>
      </c>
      <c r="F253" s="115">
        <f>IFERROR(VLOOKUP(E253,Data!$G$23:$H$196,2,FALSE),0)</f>
        <v>97923.808029770007</v>
      </c>
      <c r="G253" s="171">
        <f>IF(IFERROR(VLOOKUP(E253,Data!$O$23:$P$196,2,FALSE),0)=0,0,(F253-IFERROR(VLOOKUP(E253,Data!$O$23:$P$196,2,FALSE),0))/ABS(IFERROR(VLOOKUP(E253,Data!$O$23:$P$196,2,FALSE),0)))</f>
        <v>-3.992382421970881E-2</v>
      </c>
      <c r="H253" s="115">
        <f>VLOOKUP(E253,Data!$B$23:$E$400,3,FALSE)</f>
        <v>103984.40357676</v>
      </c>
      <c r="I253" s="205">
        <f>VLOOKUP(E253,Data!$B$23:$E$400,2,FALSE)</f>
        <v>44992</v>
      </c>
    </row>
    <row r="254" spans="1:9" ht="13.8" x14ac:dyDescent="0.25">
      <c r="A254" s="18"/>
      <c r="B254" s="18"/>
      <c r="C254" s="115"/>
      <c r="D254" s="115"/>
      <c r="E254" s="18"/>
      <c r="F254" s="115"/>
      <c r="G254" s="115"/>
      <c r="H254" s="115"/>
      <c r="I254" s="205"/>
    </row>
    <row r="255" spans="1:9" ht="13.8" x14ac:dyDescent="0.25">
      <c r="A255" s="204" t="s">
        <v>69</v>
      </c>
      <c r="B255" s="204"/>
      <c r="C255" s="204"/>
      <c r="D255" s="204"/>
      <c r="E255" s="204"/>
      <c r="F255" s="204"/>
      <c r="G255" s="204"/>
      <c r="H255" s="204"/>
      <c r="I255" s="204"/>
    </row>
    <row r="256" spans="1:9" ht="13.8" x14ac:dyDescent="0.25">
      <c r="A256" s="18" t="s">
        <v>507</v>
      </c>
      <c r="B256" s="18"/>
      <c r="C256" s="116"/>
      <c r="D256" s="116"/>
      <c r="E256" s="18" t="s">
        <v>508</v>
      </c>
      <c r="F256" s="116">
        <f>IFERROR(VLOOKUP(E256,Data!$G$23:$H$196,2,FALSE),0)</f>
        <v>25535.291245569999</v>
      </c>
      <c r="G256" s="206">
        <f>IF(IFERROR(VLOOKUP(E256,Data!$O$23:$P$196,2,FALSE),0)=0,0,(F256-IFERROR(VLOOKUP(E256,Data!$O$23:$P$196,2,FALSE),0))/ABS(IFERROR(VLOOKUP(E256,Data!$O$23:$P$196,2,FALSE),0)))</f>
        <v>-0.14618866989317783</v>
      </c>
      <c r="H256" s="116">
        <f>VLOOKUP(E256,Data!$B$23:$E$400,3,FALSE)</f>
        <v>48548.268359590002</v>
      </c>
      <c r="I256" s="205">
        <f>VLOOKUP(E256,Data!$B$23:$E$400,2,FALSE)</f>
        <v>44820</v>
      </c>
    </row>
    <row r="257" spans="1:9" ht="13.8" x14ac:dyDescent="0.25">
      <c r="A257" s="18" t="s">
        <v>71</v>
      </c>
      <c r="B257" s="18"/>
      <c r="C257" s="115"/>
      <c r="D257" s="115"/>
      <c r="E257" s="18" t="s">
        <v>509</v>
      </c>
      <c r="F257" s="115">
        <f>IFERROR(VLOOKUP(E257,Data!$G$23:$H$196,2,FALSE),0)</f>
        <v>48769.70028633</v>
      </c>
      <c r="G257" s="171">
        <f>IF(IFERROR(VLOOKUP(E257,Data!$O$23:$P$196,2,FALSE),0)=0,0,(F257-IFERROR(VLOOKUP(E257,Data!$O$23:$P$196,2,FALSE),0))/ABS(IFERROR(VLOOKUP(E257,Data!$O$23:$P$196,2,FALSE),0)))</f>
        <v>-1.9012454477151202E-2</v>
      </c>
      <c r="H257" s="116">
        <f>VLOOKUP(E257,Data!$B$23:$E$400,3,FALSE)</f>
        <v>63059.854592180003</v>
      </c>
      <c r="I257" s="205">
        <f>VLOOKUP(E257,Data!$B$23:$E$400,2,FALSE)</f>
        <v>44622</v>
      </c>
    </row>
    <row r="258" spans="1:9" ht="13.8" x14ac:dyDescent="0.25">
      <c r="A258" s="18" t="s">
        <v>73</v>
      </c>
      <c r="B258" s="18"/>
      <c r="C258" s="115"/>
      <c r="D258" s="115"/>
      <c r="E258" s="18" t="s">
        <v>510</v>
      </c>
      <c r="F258" s="115">
        <f>IFERROR(VLOOKUP(E258,Data!$G$23:$H$196,2,FALSE),0)</f>
        <v>34057.156572699998</v>
      </c>
      <c r="G258" s="171">
        <f>IF(IFERROR(VLOOKUP(E258,Data!$O$23:$P$196,2,FALSE),0)=0,0,(F258-IFERROR(VLOOKUP(E258,Data!$O$23:$P$196,2,FALSE),0))/ABS(IFERROR(VLOOKUP(E258,Data!$O$23:$P$196,2,FALSE),0)))</f>
        <v>-8.7608802033197486E-3</v>
      </c>
      <c r="H258" s="116">
        <f>VLOOKUP(E258,Data!$B$23:$E$400,3,FALSE)</f>
        <v>40363.684077309998</v>
      </c>
      <c r="I258" s="205">
        <f>VLOOKUP(E258,Data!$B$23:$E$400,2,FALSE)</f>
        <v>44603</v>
      </c>
    </row>
    <row r="259" spans="1:9" ht="13.8" x14ac:dyDescent="0.25">
      <c r="A259" s="18" t="s">
        <v>511</v>
      </c>
      <c r="B259" s="18"/>
      <c r="C259" s="115"/>
      <c r="D259" s="115"/>
      <c r="E259" s="18" t="s">
        <v>512</v>
      </c>
      <c r="F259" s="115">
        <f>IFERROR(VLOOKUP(E259,Data!$G$23:$H$196,2,FALSE),0)</f>
        <v>40933.688983</v>
      </c>
      <c r="G259" s="171">
        <f>IF(IFERROR(VLOOKUP(E259,Data!$O$23:$P$196,2,FALSE),0)=0,0,(F259-IFERROR(VLOOKUP(E259,Data!$O$23:$P$196,2,FALSE),0))/ABS(IFERROR(VLOOKUP(E259,Data!$O$23:$P$196,2,FALSE),0)))</f>
        <v>1.7485057297969703E-2</v>
      </c>
      <c r="H259" s="116">
        <f>VLOOKUP(E259,Data!$B$23:$E$400,3,FALSE)</f>
        <v>43472.300306559999</v>
      </c>
      <c r="I259" s="205">
        <f>VLOOKUP(E259,Data!$B$23:$E$400,2,FALSE)</f>
        <v>45058</v>
      </c>
    </row>
    <row r="260" spans="1:9" ht="13.8" x14ac:dyDescent="0.25">
      <c r="A260" s="18" t="s">
        <v>513</v>
      </c>
      <c r="B260" s="18"/>
      <c r="C260" s="115"/>
      <c r="D260" s="115"/>
      <c r="E260" s="18" t="s">
        <v>514</v>
      </c>
      <c r="F260" s="115">
        <f>IFERROR(VLOOKUP(E260,Data!$G$23:$H$196,2,FALSE),0)</f>
        <v>74338.011095549999</v>
      </c>
      <c r="G260" s="171">
        <f>IF(IFERROR(VLOOKUP(E260,Data!$O$23:$P$196,2,FALSE),0)=0,0,(F260-IFERROR(VLOOKUP(E260,Data!$O$23:$P$196,2,FALSE),0))/ABS(IFERROR(VLOOKUP(E260,Data!$O$23:$P$196,2,FALSE),0)))</f>
        <v>-9.2456923787342382E-2</v>
      </c>
      <c r="H260" s="116">
        <f>VLOOKUP(E260,Data!$B$23:$E$400,3,FALSE)</f>
        <v>82943.78309384</v>
      </c>
      <c r="I260" s="205">
        <f>VLOOKUP(E260,Data!$B$23:$E$400,2,FALSE)</f>
        <v>44980</v>
      </c>
    </row>
    <row r="261" spans="1:9" ht="13.8" x14ac:dyDescent="0.25">
      <c r="A261" s="18" t="s">
        <v>77</v>
      </c>
      <c r="B261" s="18"/>
      <c r="C261" s="115"/>
      <c r="D261" s="115"/>
      <c r="E261" s="18" t="s">
        <v>515</v>
      </c>
      <c r="F261" s="115">
        <f>IFERROR(VLOOKUP(E261,Data!$G$23:$H$196,2,FALSE),0)</f>
        <v>36394.3103195</v>
      </c>
      <c r="G261" s="171">
        <f>IF(IFERROR(VLOOKUP(E261,Data!$O$23:$P$196,2,FALSE),0)=0,0,(F261-IFERROR(VLOOKUP(E261,Data!$O$23:$P$196,2,FALSE),0))/ABS(IFERROR(VLOOKUP(E261,Data!$O$23:$P$196,2,FALSE),0)))</f>
        <v>-8.0888145152270149E-2</v>
      </c>
      <c r="H261" s="116">
        <f>VLOOKUP(E261,Data!$B$23:$E$400,3,FALSE)</f>
        <v>45484.202380390001</v>
      </c>
      <c r="I261" s="205">
        <f>VLOOKUP(E261,Data!$B$23:$E$400,2,FALSE)</f>
        <v>44649</v>
      </c>
    </row>
    <row r="262" spans="1:9" ht="13.8" x14ac:dyDescent="0.25">
      <c r="A262" s="18" t="s">
        <v>79</v>
      </c>
      <c r="B262" s="18"/>
      <c r="C262" s="115"/>
      <c r="D262" s="115"/>
      <c r="E262" s="18" t="s">
        <v>516</v>
      </c>
      <c r="F262" s="115">
        <f>IFERROR(VLOOKUP(E262,Data!$G$23:$H$196,2,FALSE),0)</f>
        <v>37293.161300100001</v>
      </c>
      <c r="G262" s="171">
        <f>IF(IFERROR(VLOOKUP(E262,Data!$O$23:$P$196,2,FALSE),0)=0,0,(F262-IFERROR(VLOOKUP(E262,Data!$O$23:$P$196,2,FALSE),0))/ABS(IFERROR(VLOOKUP(E262,Data!$O$23:$P$196,2,FALSE),0)))</f>
        <v>-7.4442906882322621E-2</v>
      </c>
      <c r="H262" s="116">
        <f>VLOOKUP(E262,Data!$B$23:$E$400,3,FALSE)</f>
        <v>49244.486816149998</v>
      </c>
      <c r="I262" s="205">
        <f>VLOOKUP(E262,Data!$B$23:$E$400,2,FALSE)</f>
        <v>44287</v>
      </c>
    </row>
    <row r="263" spans="1:9" ht="13.8" x14ac:dyDescent="0.25">
      <c r="A263" s="18" t="s">
        <v>81</v>
      </c>
      <c r="B263" s="18"/>
      <c r="C263" s="115"/>
      <c r="D263" s="115"/>
      <c r="E263" s="18" t="s">
        <v>517</v>
      </c>
      <c r="F263" s="115">
        <f>IFERROR(VLOOKUP(E263,Data!$G$23:$H$196,2,FALSE),0)</f>
        <v>5585.8448721200002</v>
      </c>
      <c r="G263" s="171">
        <f>IF(IFERROR(VLOOKUP(E263,Data!$O$23:$P$196,2,FALSE),0)=0,0,(F263-IFERROR(VLOOKUP(E263,Data!$O$23:$P$196,2,FALSE),0))/ABS(IFERROR(VLOOKUP(E263,Data!$O$23:$P$196,2,FALSE),0)))</f>
        <v>-7.7479264731358244E-2</v>
      </c>
      <c r="H263" s="116">
        <f>VLOOKUP(E263,Data!$B$23:$E$400,3,FALSE)</f>
        <v>8885.9207809799991</v>
      </c>
      <c r="I263" s="205">
        <f>VLOOKUP(E263,Data!$B$23:$E$400,2,FALSE)</f>
        <v>44622</v>
      </c>
    </row>
    <row r="264" spans="1:9" ht="13.8" x14ac:dyDescent="0.25">
      <c r="A264" s="18" t="s">
        <v>83</v>
      </c>
      <c r="B264" s="18"/>
      <c r="C264" s="115"/>
      <c r="D264" s="115"/>
      <c r="E264" s="18" t="s">
        <v>518</v>
      </c>
      <c r="F264" s="115">
        <f>IFERROR(VLOOKUP(E264,Data!$G$23:$H$196,2,FALSE),0)</f>
        <v>4994.82139465</v>
      </c>
      <c r="G264" s="171">
        <f>IF(IFERROR(VLOOKUP(E264,Data!$O$23:$P$196,2,FALSE),0)=0,0,(F264-IFERROR(VLOOKUP(E264,Data!$O$23:$P$196,2,FALSE),0))/ABS(IFERROR(VLOOKUP(E264,Data!$O$23:$P$196,2,FALSE),0)))</f>
        <v>-6.6603184891360329E-2</v>
      </c>
      <c r="H264" s="116">
        <f>VLOOKUP(E264,Data!$B$23:$E$400,3,FALSE)</f>
        <v>5917.4404180399997</v>
      </c>
      <c r="I264" s="205">
        <f>VLOOKUP(E264,Data!$B$23:$E$400,2,FALSE)</f>
        <v>44467</v>
      </c>
    </row>
    <row r="265" spans="1:9" ht="13.8" x14ac:dyDescent="0.25">
      <c r="A265" s="18"/>
      <c r="B265" s="18"/>
      <c r="C265" s="115"/>
      <c r="D265" s="115"/>
      <c r="E265" s="18"/>
      <c r="F265" s="115"/>
      <c r="G265" s="115"/>
      <c r="H265" s="115"/>
      <c r="I265" s="205"/>
    </row>
    <row r="266" spans="1:9" ht="13.8" x14ac:dyDescent="0.25">
      <c r="A266" s="204" t="s">
        <v>85</v>
      </c>
      <c r="B266" s="204"/>
      <c r="C266" s="204"/>
      <c r="D266" s="204"/>
      <c r="E266" s="204"/>
      <c r="F266" s="204"/>
      <c r="G266" s="204"/>
      <c r="H266" s="204"/>
      <c r="I266" s="204"/>
    </row>
    <row r="267" spans="1:9" ht="13.8" x14ac:dyDescent="0.25">
      <c r="A267" s="18" t="s">
        <v>505</v>
      </c>
      <c r="B267" s="18"/>
      <c r="C267" s="115"/>
      <c r="D267" s="115"/>
      <c r="E267" s="18" t="s">
        <v>245</v>
      </c>
      <c r="F267" s="115">
        <f>IFERROR(VLOOKUP(E267,Data!$G$23:$H$196,2,FALSE),0)</f>
        <v>12632.44975181</v>
      </c>
      <c r="G267" s="171">
        <f>IF(IFERROR(VLOOKUP(E267,Data!$O$23:$P$196,2,FALSE),0)=0,0,(F267-IFERROR(VLOOKUP(E267,Data!$O$23:$P$196,2,FALSE),0))/ABS(IFERROR(VLOOKUP(E267,Data!$O$23:$P$196,2,FALSE),0)))</f>
        <v>-6.2276350404230886E-2</v>
      </c>
      <c r="H267" s="115">
        <f>VLOOKUP(E267,Data!$B$23:$E$400,3,FALSE)</f>
        <v>14108.549656339999</v>
      </c>
      <c r="I267" s="205">
        <f>VLOOKUP(E267,Data!$B$23:$E$400,2,FALSE)</f>
        <v>44953</v>
      </c>
    </row>
    <row r="268" spans="1:9" ht="13.8" x14ac:dyDescent="0.25">
      <c r="A268" s="18" t="s">
        <v>87</v>
      </c>
      <c r="B268" s="18"/>
      <c r="C268" s="115"/>
      <c r="D268" s="115"/>
      <c r="E268" s="18" t="s">
        <v>88</v>
      </c>
      <c r="F268" s="115">
        <f>IFERROR(VLOOKUP(E268,Data!$G$23:$H$196,2,FALSE),0)</f>
        <v>4592.8196639199996</v>
      </c>
      <c r="G268" s="171">
        <f>IF(IFERROR(VLOOKUP(E268,Data!$O$23:$P$196,2,FALSE),0)=0,0,(F268-IFERROR(VLOOKUP(E268,Data!$O$23:$P$196,2,FALSE),0))/ABS(IFERROR(VLOOKUP(E268,Data!$O$23:$P$196,2,FALSE),0)))</f>
        <v>-3.2831781449250551E-2</v>
      </c>
      <c r="H268" s="115">
        <f>VLOOKUP(E268,Data!$B$23:$E$400,3,FALSE)</f>
        <v>5682.5741831900004</v>
      </c>
      <c r="I268" s="205">
        <f>VLOOKUP(E268,Data!$B$23:$E$400,2,FALSE)</f>
        <v>44622</v>
      </c>
    </row>
    <row r="269" spans="1:9" ht="13.8" x14ac:dyDescent="0.25">
      <c r="A269" s="18" t="s">
        <v>166</v>
      </c>
      <c r="B269" s="18"/>
      <c r="C269" s="115"/>
      <c r="D269" s="115"/>
      <c r="E269" s="18" t="s">
        <v>506</v>
      </c>
      <c r="F269" s="115">
        <f>IFERROR(VLOOKUP(E269,Data!$G$23:$H$196,2,FALSE),0)</f>
        <v>303.3932686</v>
      </c>
      <c r="G269" s="171">
        <f>IF(IFERROR(VLOOKUP(E269,Data!$O$23:$P$196,2,FALSE),0)=0,0,(F269-IFERROR(VLOOKUP(E269,Data!$O$23:$P$196,2,FALSE),0))/ABS(IFERROR(VLOOKUP(E269,Data!$O$23:$P$196,2,FALSE),0)))</f>
        <v>-9.3529169451880625E-2</v>
      </c>
      <c r="H269" s="115">
        <f>VLOOKUP(E269,Data!$B$23:$E$400,3,FALSE)</f>
        <v>400.62909824000002</v>
      </c>
      <c r="I269" s="205">
        <f>VLOOKUP(E269,Data!$B$23:$E$400,2,FALSE)</f>
        <v>44567</v>
      </c>
    </row>
    <row r="270" spans="1:9" ht="13.8" x14ac:dyDescent="0.25">
      <c r="A270" s="18" t="s">
        <v>89</v>
      </c>
      <c r="B270" s="18"/>
      <c r="C270" s="115"/>
      <c r="D270" s="115"/>
      <c r="E270" s="18" t="s">
        <v>90</v>
      </c>
      <c r="F270" s="115">
        <f>IFERROR(VLOOKUP(E270,Data!$G$23:$H$196,2,FALSE),0)</f>
        <v>293.27066524000003</v>
      </c>
      <c r="G270" s="171">
        <f>IF(IFERROR(VLOOKUP(E270,Data!$O$23:$P$196,2,FALSE),0)=0,0,(F270-IFERROR(VLOOKUP(E270,Data!$O$23:$P$196,2,FALSE),0))/ABS(IFERROR(VLOOKUP(E270,Data!$O$23:$P$196,2,FALSE),0)))</f>
        <v>-6.1674423065208664E-2</v>
      </c>
      <c r="H270" s="115">
        <f>VLOOKUP(E270,Data!$B$23:$E$400,3,FALSE)</f>
        <v>694.66658584000004</v>
      </c>
      <c r="I270" s="205">
        <f>VLOOKUP(E270,Data!$B$23:$E$400,2,FALSE)</f>
        <v>43098</v>
      </c>
    </row>
    <row r="271" spans="1:9" ht="13.8" x14ac:dyDescent="0.25">
      <c r="A271" s="18" t="s">
        <v>91</v>
      </c>
      <c r="B271" s="18"/>
      <c r="C271" s="115"/>
      <c r="D271" s="115"/>
      <c r="E271" s="18" t="s">
        <v>92</v>
      </c>
      <c r="F271" s="115">
        <f>IFERROR(VLOOKUP(E271,Data!$G$23:$H$196,2,FALSE),0)</f>
        <v>213.3696267</v>
      </c>
      <c r="G271" s="171">
        <f>IF(IFERROR(VLOOKUP(E271,Data!$O$23:$P$196,2,FALSE),0)=0,0,(F271-IFERROR(VLOOKUP(E271,Data!$O$23:$P$196,2,FALSE),0))/ABS(IFERROR(VLOOKUP(E271,Data!$O$23:$P$196,2,FALSE),0)))</f>
        <v>-6.4227236740737242E-2</v>
      </c>
      <c r="H271" s="115">
        <f>VLOOKUP(E271,Data!$B$23:$E$400,3,FALSE)</f>
        <v>597.8558587</v>
      </c>
      <c r="I271" s="205">
        <f>VLOOKUP(E271,Data!$B$23:$E$400,2,FALSE)</f>
        <v>42305</v>
      </c>
    </row>
    <row r="272" spans="1:9" ht="13.8" x14ac:dyDescent="0.25">
      <c r="A272" s="18" t="s">
        <v>93</v>
      </c>
      <c r="B272" s="18"/>
      <c r="C272" s="115"/>
      <c r="D272" s="115"/>
      <c r="E272" s="18" t="s">
        <v>94</v>
      </c>
      <c r="F272" s="115">
        <f>IFERROR(VLOOKUP(E272,Data!$G$23:$H$196,2,FALSE),0)</f>
        <v>39012.245342820002</v>
      </c>
      <c r="G272" s="171">
        <f>IF(IFERROR(VLOOKUP(E272,Data!$O$23:$P$196,2,FALSE),0)=0,0,(F272-IFERROR(VLOOKUP(E272,Data!$O$23:$P$196,2,FALSE),0))/ABS(IFERROR(VLOOKUP(E272,Data!$O$23:$P$196,2,FALSE),0)))</f>
        <v>-2.3499225752968464E-2</v>
      </c>
      <c r="H272" s="115">
        <f>VLOOKUP(E272,Data!$B$23:$E$400,3,FALSE)</f>
        <v>50476.602841729997</v>
      </c>
      <c r="I272" s="205">
        <f>VLOOKUP(E272,Data!$B$23:$E$400,2,FALSE)</f>
        <v>44622</v>
      </c>
    </row>
    <row r="273" spans="1:9" ht="13.8" x14ac:dyDescent="0.25">
      <c r="A273" s="18" t="s">
        <v>95</v>
      </c>
      <c r="B273" s="18"/>
      <c r="C273" s="115"/>
      <c r="D273" s="115"/>
      <c r="E273" s="18" t="s">
        <v>96</v>
      </c>
      <c r="F273" s="115">
        <f>IFERROR(VLOOKUP(E273,Data!$G$23:$H$196,2,FALSE),0)</f>
        <v>419.89897844000001</v>
      </c>
      <c r="G273" s="171">
        <f>IF(IFERROR(VLOOKUP(E273,Data!$O$23:$P$196,2,FALSE),0)=0,0,(F273-IFERROR(VLOOKUP(E273,Data!$O$23:$P$196,2,FALSE),0))/ABS(IFERROR(VLOOKUP(E273,Data!$O$23:$P$196,2,FALSE),0)))</f>
        <v>-6.1793689239134121E-2</v>
      </c>
      <c r="H273" s="115">
        <f>VLOOKUP(E273,Data!$B$23:$E$400,3,FALSE)</f>
        <v>500.14306311000001</v>
      </c>
      <c r="I273" s="205">
        <f>VLOOKUP(E273,Data!$B$23:$E$400,2,FALSE)</f>
        <v>44622</v>
      </c>
    </row>
    <row r="274" spans="1:9" ht="13.8" x14ac:dyDescent="0.25">
      <c r="A274" s="18" t="s">
        <v>97</v>
      </c>
      <c r="B274" s="18"/>
      <c r="C274" s="115"/>
      <c r="D274" s="115"/>
      <c r="E274" s="18" t="s">
        <v>98</v>
      </c>
      <c r="F274" s="115">
        <f>IFERROR(VLOOKUP(E274,Data!$G$23:$H$196,2,FALSE),0)</f>
        <v>1023.14704611</v>
      </c>
      <c r="G274" s="171">
        <f>IF(IFERROR(VLOOKUP(E274,Data!$O$23:$P$196,2,FALSE),0)=0,0,(F274-IFERROR(VLOOKUP(E274,Data!$O$23:$P$196,2,FALSE),0))/ABS(IFERROR(VLOOKUP(E274,Data!$O$23:$P$196,2,FALSE),0)))</f>
        <v>-2.0252396570471589E-2</v>
      </c>
      <c r="H274" s="115">
        <f>VLOOKUP(E274,Data!$B$23:$E$400,3,FALSE)</f>
        <v>1087.5945913</v>
      </c>
      <c r="I274" s="205">
        <f>VLOOKUP(E274,Data!$B$23:$E$400,2,FALSE)</f>
        <v>45063</v>
      </c>
    </row>
    <row r="275" spans="1:9" ht="13.8" x14ac:dyDescent="0.25">
      <c r="A275" s="18"/>
      <c r="B275" s="18"/>
      <c r="C275" s="115"/>
      <c r="D275" s="115"/>
      <c r="E275" s="18"/>
      <c r="F275" s="115"/>
      <c r="G275" s="115"/>
      <c r="H275" s="115"/>
      <c r="I275" s="205"/>
    </row>
    <row r="276" spans="1:9" ht="13.8" x14ac:dyDescent="0.25">
      <c r="A276" s="204" t="s">
        <v>101</v>
      </c>
      <c r="B276" s="204"/>
      <c r="C276" s="204"/>
      <c r="D276" s="204"/>
      <c r="E276" s="204"/>
      <c r="F276" s="204"/>
      <c r="G276" s="204"/>
      <c r="H276" s="204"/>
      <c r="I276" s="204"/>
    </row>
    <row r="277" spans="1:9" ht="13.8" x14ac:dyDescent="0.25">
      <c r="A277" s="18" t="s">
        <v>104</v>
      </c>
      <c r="B277" s="18"/>
      <c r="C277" s="115"/>
      <c r="D277" s="115"/>
      <c r="E277" s="18" t="s">
        <v>105</v>
      </c>
      <c r="F277" s="115">
        <f>IFERROR(VLOOKUP(E277,Data!$G$23:$H$196,2,FALSE),0)</f>
        <v>775.81984937000004</v>
      </c>
      <c r="G277" s="171">
        <f>IF(IFERROR(VLOOKUP(E277,Data!$O$23:$P$196,2,FALSE),0)=0,0,(F277-IFERROR(VLOOKUP(E277,Data!$O$23:$P$196,2,FALSE),0))/ABS(IFERROR(VLOOKUP(E277,Data!$O$23:$P$196,2,FALSE),0)))</f>
        <v>4.492778406293532E-3</v>
      </c>
      <c r="H277" s="115">
        <f>VLOOKUP(E277,Data!$B$23:$E$273,3,FALSE)</f>
        <v>5041.9399999999996</v>
      </c>
      <c r="I277" s="205">
        <f>VLOOKUP(E277,Data!$B$23:$E$273,2,FALSE)</f>
        <v>39400</v>
      </c>
    </row>
    <row r="278" spans="1:9" ht="13.8" x14ac:dyDescent="0.25">
      <c r="A278" s="18"/>
      <c r="B278" s="18"/>
      <c r="C278" s="115"/>
      <c r="D278" s="115"/>
      <c r="E278" s="18"/>
      <c r="F278" s="115"/>
      <c r="G278" s="171"/>
      <c r="H278" s="115"/>
      <c r="I278" s="205"/>
    </row>
    <row r="279" spans="1:9" ht="13.8" x14ac:dyDescent="0.25">
      <c r="A279" s="18"/>
      <c r="B279" s="18"/>
      <c r="C279" s="115"/>
      <c r="D279" s="115"/>
      <c r="E279" s="18"/>
      <c r="F279" s="115"/>
      <c r="G279" s="115"/>
      <c r="H279" s="115"/>
      <c r="I279" s="205"/>
    </row>
    <row r="282" spans="1:9" ht="13.8" x14ac:dyDescent="0.25">
      <c r="A282" s="18"/>
      <c r="B282" s="18"/>
      <c r="C282" s="115"/>
      <c r="D282" s="115"/>
      <c r="E282" s="18"/>
      <c r="F282" s="115"/>
      <c r="G282" s="171"/>
      <c r="H282" s="115"/>
      <c r="I282" s="205"/>
    </row>
    <row r="284" spans="1:9" ht="14.4" thickBot="1" x14ac:dyDescent="0.3">
      <c r="A284" s="173"/>
      <c r="B284" s="173"/>
      <c r="C284" s="114"/>
      <c r="D284" s="114"/>
      <c r="E284" s="114"/>
      <c r="F284" s="207"/>
      <c r="G284" s="173"/>
      <c r="H284" s="173"/>
      <c r="I284" s="173"/>
    </row>
    <row r="285" spans="1:9" ht="13.8" thickTop="1" x14ac:dyDescent="0.25">
      <c r="A285" s="220" t="s">
        <v>499</v>
      </c>
      <c r="D285" s="2"/>
      <c r="E285" s="2"/>
      <c r="F285" s="6"/>
    </row>
    <row r="286" spans="1:9" x14ac:dyDescent="0.25">
      <c r="A286" s="8" t="s">
        <v>106</v>
      </c>
      <c r="D286" s="2"/>
      <c r="E286" s="2"/>
      <c r="F286" s="6"/>
    </row>
    <row r="288" spans="1:9" ht="13.8" thickBot="1" x14ac:dyDescent="0.3"/>
    <row r="289" spans="1:6" ht="25.2" thickBot="1" x14ac:dyDescent="0.45">
      <c r="A289" s="226" t="s">
        <v>501</v>
      </c>
      <c r="B289" s="227"/>
      <c r="C289" s="228"/>
      <c r="D289" s="224"/>
      <c r="E289" s="224"/>
      <c r="F289" s="225"/>
    </row>
    <row r="290" spans="1:6" x14ac:dyDescent="0.25">
      <c r="A290" s="223"/>
      <c r="B290" s="223"/>
      <c r="C290" s="223"/>
    </row>
    <row r="291" spans="1:6" ht="34.799999999999997" x14ac:dyDescent="0.55000000000000004">
      <c r="A291" s="222" t="s">
        <v>502</v>
      </c>
      <c r="B291" s="221"/>
      <c r="C291" s="221"/>
      <c r="D291" s="221"/>
      <c r="E291" s="221"/>
      <c r="F291" s="221"/>
    </row>
    <row r="293" spans="1:6" ht="34.799999999999997" x14ac:dyDescent="0.55000000000000004">
      <c r="A293" s="222" t="s">
        <v>503</v>
      </c>
      <c r="B293" s="221"/>
      <c r="C293" s="221"/>
      <c r="D293" s="221"/>
      <c r="E293" s="221"/>
      <c r="F293" s="221"/>
    </row>
    <row r="295" spans="1:6" x14ac:dyDescent="0.25">
      <c r="A295" s="252" t="s">
        <v>504</v>
      </c>
      <c r="B295" s="252"/>
      <c r="C295" s="252"/>
    </row>
    <row r="296" spans="1:6" x14ac:dyDescent="0.25">
      <c r="A296" s="252"/>
      <c r="B296" s="252"/>
      <c r="C296" s="252"/>
    </row>
    <row r="332" spans="1:9" ht="13.8" x14ac:dyDescent="0.25">
      <c r="A332" s="18"/>
      <c r="B332" s="18"/>
      <c r="C332" s="18"/>
      <c r="D332" s="18"/>
      <c r="E332" s="18"/>
      <c r="F332" s="18"/>
      <c r="G332" s="18"/>
      <c r="H332" s="18"/>
      <c r="I332" s="18"/>
    </row>
    <row r="333" spans="1:9" ht="13.8" x14ac:dyDescent="0.25">
      <c r="A333" s="18"/>
      <c r="B333" s="18"/>
      <c r="C333" s="18"/>
      <c r="D333" s="18"/>
      <c r="E333" s="18"/>
      <c r="F333" s="18"/>
      <c r="G333" s="18"/>
      <c r="H333" s="18"/>
      <c r="I333" s="18"/>
    </row>
    <row r="334" spans="1:9" ht="13.8" x14ac:dyDescent="0.25">
      <c r="A334" s="18"/>
      <c r="B334" s="18"/>
      <c r="C334" s="18"/>
      <c r="D334" s="18"/>
      <c r="E334" s="18"/>
      <c r="F334" s="18"/>
      <c r="G334" s="18"/>
      <c r="H334" s="18"/>
      <c r="I334" s="18"/>
    </row>
    <row r="335" spans="1:9" ht="13.8" x14ac:dyDescent="0.25">
      <c r="A335" s="18"/>
      <c r="B335" s="18"/>
      <c r="C335" s="18"/>
      <c r="D335" s="18"/>
      <c r="E335" s="18"/>
      <c r="F335" s="18"/>
      <c r="G335" s="18"/>
      <c r="H335" s="18"/>
      <c r="I335" s="18"/>
    </row>
    <row r="336" spans="1:9" ht="13.8" x14ac:dyDescent="0.25">
      <c r="A336" s="18"/>
      <c r="B336" s="18"/>
      <c r="C336" s="18"/>
      <c r="D336" s="18"/>
      <c r="E336" s="18"/>
      <c r="F336" s="18"/>
      <c r="G336" s="18"/>
      <c r="H336" s="18"/>
      <c r="I336" s="18"/>
    </row>
    <row r="337" spans="1:10" ht="4.5" customHeight="1" x14ac:dyDescent="0.25">
      <c r="A337" s="18"/>
      <c r="B337" s="18"/>
      <c r="C337" s="18"/>
      <c r="D337" s="18"/>
      <c r="E337" s="18"/>
      <c r="F337" s="18"/>
      <c r="G337" s="18"/>
      <c r="H337" s="18"/>
      <c r="I337" s="18"/>
    </row>
    <row r="338" spans="1:10" ht="13.8" x14ac:dyDescent="0.25">
      <c r="B338" s="18"/>
      <c r="C338" s="18"/>
      <c r="D338" s="18"/>
      <c r="E338" s="18"/>
      <c r="F338" s="18"/>
      <c r="G338" s="18"/>
      <c r="H338" s="18"/>
      <c r="I338" s="18"/>
    </row>
    <row r="339" spans="1:10" ht="8.25" customHeight="1" x14ac:dyDescent="0.25">
      <c r="A339" s="241" t="str">
        <f>"Market Profile - "&amp; TEXT($H$3,"MMM")&amp;" "&amp;TEXT($H$3,"YYYY")</f>
        <v>Market Profile - May 2023</v>
      </c>
      <c r="B339" s="18"/>
      <c r="C339" s="18"/>
      <c r="D339" s="18"/>
      <c r="E339" s="245" t="s">
        <v>181</v>
      </c>
      <c r="F339" s="245"/>
      <c r="G339" s="245"/>
      <c r="H339" s="245"/>
      <c r="I339" s="245"/>
    </row>
    <row r="340" spans="1:10" ht="10.5" customHeight="1" thickBot="1" x14ac:dyDescent="0.3">
      <c r="A340" s="242"/>
      <c r="B340" s="166"/>
      <c r="C340" s="166"/>
      <c r="D340" s="166"/>
      <c r="E340" s="246"/>
      <c r="F340" s="246"/>
      <c r="G340" s="246"/>
      <c r="H340" s="246"/>
      <c r="I340" s="246"/>
    </row>
    <row r="341" spans="1:10" ht="38.25" customHeight="1" thickBot="1" x14ac:dyDescent="0.3">
      <c r="A341" s="202"/>
      <c r="B341" s="202"/>
      <c r="C341" s="208" t="str">
        <f>TEXT($H$3,"MMM")&amp;" "&amp;TEXT($H$3,"YYYY")</f>
        <v>May 2023</v>
      </c>
      <c r="D341" s="202"/>
      <c r="E341" s="208" t="str">
        <f>TEXT(DATE(2000,TEXT(H3,"M")-1,1),"mmm")&amp; " "&amp; TEXT(H3,"YYYY")</f>
        <v>Apr 2023</v>
      </c>
      <c r="F341" s="112" t="s">
        <v>170</v>
      </c>
      <c r="G341" s="202"/>
      <c r="H341" s="209" t="str">
        <f>TEXT($H$3,"MMM")&amp;" "&amp;TEXT($H$3,"YYYY")-1</f>
        <v>May 2022</v>
      </c>
      <c r="I341" s="209" t="s">
        <v>171</v>
      </c>
    </row>
    <row r="342" spans="1:10" ht="13.8" x14ac:dyDescent="0.25">
      <c r="A342" s="204" t="s">
        <v>107</v>
      </c>
      <c r="B342" s="204"/>
      <c r="C342" s="204"/>
      <c r="D342" s="204"/>
      <c r="E342" s="204"/>
      <c r="F342" s="204"/>
      <c r="G342" s="204"/>
      <c r="H342" s="204"/>
      <c r="I342" s="210"/>
    </row>
    <row r="343" spans="1:10" x14ac:dyDescent="0.25">
      <c r="A343" s="91" t="s">
        <v>14</v>
      </c>
      <c r="F343" s="58"/>
      <c r="I343" s="111"/>
    </row>
    <row r="344" spans="1:10" x14ac:dyDescent="0.25">
      <c r="A344" t="s">
        <v>428</v>
      </c>
      <c r="C344" s="3">
        <f>SUMIFS(Data!$AC:$AC,Data!$Z:$Z,MarketProfile!A344,Data!$AE:$AE,"1")</f>
        <v>2020</v>
      </c>
      <c r="D344" s="234">
        <f>SUMIFS(Data!$AQ:$AQ,Data!$AN:$AN,MarketProfile!A344,Data!$AS:$AS,"1")</f>
        <v>1342</v>
      </c>
      <c r="E344" s="234"/>
      <c r="F344" s="111">
        <f>IFERROR(IF(OR(AND(D344="",C344=""),AND(D344=0,C344=0)),"",
IF(OR(D344="",D344=0),1,
IF(OR(D344&lt;&gt;"",D344&lt;&gt;0),(C344-D344)/ABS(D344)))),-1)</f>
        <v>0.50521609538002976</v>
      </c>
      <c r="G344" s="234">
        <f>SUMIFS(Data!$BE:$BE,Data!$BB:$BB,MarketProfile!A344,Data!BG:BG,"1")</f>
        <v>1696</v>
      </c>
      <c r="H344" s="234"/>
      <c r="I344" s="111">
        <f t="shared" ref="I344:I351" si="18">IFERROR(IF(OR(AND(G344="",C344=""),AND(G344=0,C344=0)),"",
IF(OR(G344="",G344=0),1,
IF(OR(G344&lt;&gt;"",G344&lt;&gt;0),(C344-G344)/ABS(G344)))),-1)</f>
        <v>0.19103773584905662</v>
      </c>
      <c r="J344" s="13"/>
    </row>
    <row r="345" spans="1:10" x14ac:dyDescent="0.25">
      <c r="A345" t="s">
        <v>161</v>
      </c>
      <c r="C345" s="3">
        <f>SUMIFS(Data!$AC:$AC,Data!$Z:$Z,MarketProfile!A345,Data!$AE:$AE,"1")</f>
        <v>9963</v>
      </c>
      <c r="D345" s="234">
        <f>SUMIFS(Data!$AQ:$AQ,Data!$AN:$AN,MarketProfile!A345,Data!$AS:$AS,"1")</f>
        <v>7392</v>
      </c>
      <c r="E345" s="234"/>
      <c r="F345" s="111">
        <f t="shared" ref="F345:F352" si="19">IFERROR(IF(OR(AND(D345="",C345=""),AND(D345=0,C345=0)),"",
IF(OR(D345="",D345=0),1,
IF(OR(D345&lt;&gt;"",D345&lt;&gt;0),(C345-D345)/ABS(D345)))),-1)</f>
        <v>0.34780844155844154</v>
      </c>
      <c r="G345" s="234">
        <f>SUMIFS(Data!$BE:$BE,Data!$BB:$BB,MarketProfile!A345,Data!BG:BG,"1")</f>
        <v>6265</v>
      </c>
      <c r="H345" s="234"/>
      <c r="I345" s="111">
        <f t="shared" si="18"/>
        <v>0.59026336791699918</v>
      </c>
      <c r="J345" s="13"/>
    </row>
    <row r="346" spans="1:10" x14ac:dyDescent="0.25">
      <c r="A346" t="s">
        <v>429</v>
      </c>
      <c r="C346" s="3">
        <f>SUMIFS(Data!$AC:$AC,Data!$Z:$Z,MarketProfile!A346,Data!$AE:$AE,"1")</f>
        <v>11830</v>
      </c>
      <c r="D346" s="234">
        <f>SUMIFS(Data!$AQ:$AQ,Data!$AN:$AN,MarketProfile!A346,Data!$AS:$AS,"1")</f>
        <v>8914</v>
      </c>
      <c r="E346" s="234"/>
      <c r="F346" s="111">
        <f t="shared" si="19"/>
        <v>0.32712586941889166</v>
      </c>
      <c r="G346" s="234">
        <f>SUMIFS(Data!$BE:$BE,Data!$BB:$BB,MarketProfile!A346,Data!BG:BG,"1")</f>
        <v>9786</v>
      </c>
      <c r="H346" s="234"/>
      <c r="I346" s="111">
        <f t="shared" si="18"/>
        <v>0.2088698140200286</v>
      </c>
      <c r="J346" s="13"/>
    </row>
    <row r="347" spans="1:10" x14ac:dyDescent="0.25">
      <c r="A347" t="s">
        <v>126</v>
      </c>
      <c r="C347" s="3">
        <f>SUMIFS(Data!$AC:$AC,Data!$Z:$Z,MarketProfile!A347,Data!$AE:$AE,"1")</f>
        <v>67</v>
      </c>
      <c r="D347" s="234">
        <f>SUMIFS(Data!$AQ:$AQ,Data!$AN:$AN,MarketProfile!A347,Data!$AS:$AS,"1")</f>
        <v>40</v>
      </c>
      <c r="E347" s="234"/>
      <c r="F347" s="111">
        <f t="shared" si="19"/>
        <v>0.67500000000000004</v>
      </c>
      <c r="G347" s="234">
        <f>SUMIFS(Data!$BE:$BE,Data!$BB:$BB,MarketProfile!A347,Data!BG:BG,"1")</f>
        <v>37</v>
      </c>
      <c r="H347" s="234"/>
      <c r="I347" s="111">
        <f t="shared" si="18"/>
        <v>0.81081081081081086</v>
      </c>
      <c r="J347" s="13"/>
    </row>
    <row r="348" spans="1:10" x14ac:dyDescent="0.25">
      <c r="A348" t="s">
        <v>430</v>
      </c>
      <c r="C348" s="3">
        <f>SUMIFS(Data!$AC:$AC,Data!$Z:$Z,MarketProfile!A348,Data!$AE:$AE,"1")</f>
        <v>3588</v>
      </c>
      <c r="D348" s="234">
        <f>SUMIFS(Data!$AQ:$AQ,Data!$AN:$AN,MarketProfile!A348,Data!$AS:$AS,"1")</f>
        <v>4514</v>
      </c>
      <c r="E348" s="234"/>
      <c r="F348" s="111">
        <f t="shared" si="19"/>
        <v>-0.20513956579530351</v>
      </c>
      <c r="G348" s="234">
        <f>SUMIFS(Data!$BE:$BE,Data!$BB:$BB,MarketProfile!A348,Data!BG:BG,"1")</f>
        <v>2808</v>
      </c>
      <c r="H348" s="234"/>
      <c r="I348" s="111">
        <f t="shared" si="18"/>
        <v>0.27777777777777779</v>
      </c>
      <c r="J348" s="13"/>
    </row>
    <row r="349" spans="1:10" x14ac:dyDescent="0.25">
      <c r="A349" t="s">
        <v>431</v>
      </c>
      <c r="C349" s="3">
        <f>SUMIFS(Data!$AC:$AC,Data!$Z:$Z,MarketProfile!A349,Data!$AE:$AE,"1")</f>
        <v>17296</v>
      </c>
      <c r="D349" s="234">
        <f>SUMIFS(Data!$AQ:$AQ,Data!$AN:$AN,MarketProfile!A349,Data!$AS:$AS,"1")</f>
        <v>11653</v>
      </c>
      <c r="E349" s="234"/>
      <c r="F349" s="111">
        <f t="shared" si="19"/>
        <v>0.48425298206470435</v>
      </c>
      <c r="G349" s="234">
        <f>SUMIFS(Data!$BE:$BE,Data!$BB:$BB,MarketProfile!A349,Data!BG:BG,"1")</f>
        <v>12157</v>
      </c>
      <c r="H349" s="234"/>
      <c r="I349" s="111">
        <f t="shared" si="18"/>
        <v>0.42271942090976394</v>
      </c>
      <c r="J349" s="13"/>
    </row>
    <row r="350" spans="1:10" x14ac:dyDescent="0.25">
      <c r="A350" t="s">
        <v>432</v>
      </c>
      <c r="C350" s="3">
        <f>SUMIFS(Data!$AC:$AC,Data!$Z:$Z,MarketProfile!A350,Data!$AE:$AE,"1")</f>
        <v>9</v>
      </c>
      <c r="D350" s="234">
        <f>SUMIFS(Data!$AQ:$AQ,Data!$AN:$AN,MarketProfile!A350,Data!$AS:$AS,"1")</f>
        <v>7</v>
      </c>
      <c r="E350" s="234"/>
      <c r="F350" s="111">
        <f t="shared" si="19"/>
        <v>0.2857142857142857</v>
      </c>
      <c r="G350" s="234">
        <f>SUMIFS(Data!$BE:$BE,Data!$BB:$BB,MarketProfile!A350,Data!BG:BG,"1")</f>
        <v>8</v>
      </c>
      <c r="H350" s="234"/>
      <c r="I350" s="111">
        <f t="shared" si="18"/>
        <v>0.125</v>
      </c>
      <c r="J350" s="13"/>
    </row>
    <row r="351" spans="1:10" x14ac:dyDescent="0.25">
      <c r="A351" t="s">
        <v>127</v>
      </c>
      <c r="C351" s="3">
        <f>SUMIFS(Data!$AC:$AC,Data!$Z:$Z,MarketProfile!A351,Data!$AE:$AE,"1")</f>
        <v>2</v>
      </c>
      <c r="D351" s="234">
        <f>SUMIFS(Data!$AQ:$AQ,Data!$AN:$AN,MarketProfile!A351,Data!$AS:$AS,"1")</f>
        <v>2</v>
      </c>
      <c r="E351" s="234"/>
      <c r="F351" s="111">
        <f t="shared" si="19"/>
        <v>0</v>
      </c>
      <c r="G351" s="234">
        <f>SUMIFS(Data!$BE:$BE,Data!$BB:$BB,MarketProfile!A351,Data!BG:BG,"1")</f>
        <v>4</v>
      </c>
      <c r="H351" s="234"/>
      <c r="I351" s="111">
        <f t="shared" si="18"/>
        <v>-0.5</v>
      </c>
      <c r="J351" s="13"/>
    </row>
    <row r="352" spans="1:10" x14ac:dyDescent="0.25">
      <c r="A352" s="1" t="s">
        <v>164</v>
      </c>
      <c r="C352" s="4">
        <f>SUM(C344:C351)</f>
        <v>44775</v>
      </c>
      <c r="D352" s="253">
        <f>SUM(D344:E351)</f>
        <v>33864</v>
      </c>
      <c r="E352" s="253">
        <f>SUM(E344:E351)</f>
        <v>0</v>
      </c>
      <c r="F352" s="105">
        <f t="shared" si="19"/>
        <v>0.32220056697377747</v>
      </c>
      <c r="G352" s="253">
        <f>SUM(G344:H351)</f>
        <v>32761</v>
      </c>
      <c r="H352" s="253">
        <f>SUM(H344:H351)</f>
        <v>0</v>
      </c>
      <c r="I352" s="105">
        <f>IFERROR(IF(OR(AND(G352="",C352=""),AND(G352=0,C352=0)),"",
IF(OR(G352="",G352=0),1,
IF(OR(G352&lt;&gt;"",G352&lt;&gt;0),(C352-G352)/ABS(G352)))),-1)</f>
        <v>0.36671652269466742</v>
      </c>
      <c r="J352" s="13"/>
    </row>
    <row r="353" spans="1:9" x14ac:dyDescent="0.25">
      <c r="A353" s="91" t="s">
        <v>15</v>
      </c>
      <c r="C353" s="3"/>
      <c r="F353" s="111"/>
      <c r="I353" s="111" t="s">
        <v>168</v>
      </c>
    </row>
    <row r="354" spans="1:9" x14ac:dyDescent="0.25">
      <c r="A354" t="s">
        <v>428</v>
      </c>
      <c r="C354" s="3">
        <f>SUMIFS(Data!$AC:$AC,Data!$Z:$Z,MarketProfile!A354,Data!$AE:$AE,"0")</f>
        <v>99</v>
      </c>
      <c r="D354" s="234">
        <f>SUMIFS(Data!$AQ:$AQ,Data!$AN:$AN,MarketProfile!A354,Data!$AS:$AS,"0")</f>
        <v>41</v>
      </c>
      <c r="E354" s="234"/>
      <c r="F354" s="111">
        <f t="shared" ref="F354:F362" si="20">IFERROR(IF(OR(AND(D354="",C354=""),AND(D354=0,C354=0)),"",
IF(OR(D354="",D354=0),1,
IF(OR(D354&lt;&gt;"",D354&lt;&gt;0),(C354-D354)/ABS(D354)))),-1)</f>
        <v>1.4146341463414633</v>
      </c>
      <c r="G354" s="234">
        <f>SUMIFS(Data!$BE:$BE,Data!$BB:$BB,MarketProfile!A354,Data!BG:BG,"0")</f>
        <v>4</v>
      </c>
      <c r="H354" s="234"/>
      <c r="I354" s="111">
        <f t="shared" ref="I354:I362" si="21">IFERROR(IF(OR(AND(G354="",C354=""),AND(G354=0,C354=0)),"",
IF(OR(G354="",G354=0),1,
IF(OR(G354&lt;&gt;"",G354&lt;&gt;0),(C354-G354)/ABS(G354)))),-1)</f>
        <v>23.75</v>
      </c>
    </row>
    <row r="355" spans="1:9" x14ac:dyDescent="0.25">
      <c r="A355" t="s">
        <v>161</v>
      </c>
      <c r="C355" s="3">
        <f>SUMIFS(Data!$AC:$AC,Data!$Z:$Z,MarketProfile!A355,Data!$AE:$AE,"0")</f>
        <v>158</v>
      </c>
      <c r="D355" s="234">
        <f>SUMIFS(Data!$AQ:$AQ,Data!$AN:$AN,MarketProfile!A355,Data!$AS:$AS,"0")</f>
        <v>92</v>
      </c>
      <c r="E355" s="234"/>
      <c r="F355" s="111">
        <f t="shared" si="20"/>
        <v>0.71739130434782605</v>
      </c>
      <c r="G355" s="234">
        <f>SUMIFS(Data!$BE:$BE,Data!$BB:$BB,MarketProfile!A355,Data!BG:BG,"0")</f>
        <v>62</v>
      </c>
      <c r="H355" s="234"/>
      <c r="I355" s="111">
        <f t="shared" si="21"/>
        <v>1.5483870967741935</v>
      </c>
    </row>
    <row r="356" spans="1:9" x14ac:dyDescent="0.25">
      <c r="A356" t="s">
        <v>429</v>
      </c>
      <c r="C356" s="3">
        <f>SUMIFS(Data!$AC:$AC,Data!$Z:$Z,MarketProfile!A356,Data!$AE:$AE,"0")</f>
        <v>294</v>
      </c>
      <c r="D356" s="234">
        <f>SUMIFS(Data!$AQ:$AQ,Data!$AN:$AN,MarketProfile!A356,Data!$AS:$AS,"0")</f>
        <v>143</v>
      </c>
      <c r="E356" s="234"/>
      <c r="F356" s="111">
        <f t="shared" si="20"/>
        <v>1.055944055944056</v>
      </c>
      <c r="G356" s="234">
        <f>SUMIFS(Data!$BE:$BE,Data!$BB:$BB,MarketProfile!A356,Data!BG:BG,"0")</f>
        <v>246</v>
      </c>
      <c r="H356" s="234"/>
      <c r="I356" s="111">
        <f t="shared" si="21"/>
        <v>0.1951219512195122</v>
      </c>
    </row>
    <row r="357" spans="1:9" x14ac:dyDescent="0.25">
      <c r="A357" t="s">
        <v>126</v>
      </c>
      <c r="C357" s="3">
        <f>SUMIFS(Data!$AC:$AC,Data!$Z:$Z,MarketProfile!A357,Data!$AE:$AE,"0")</f>
        <v>0</v>
      </c>
      <c r="D357" s="234">
        <f>SUMIFS(Data!$AQ:$AQ,Data!$AN:$AN,MarketProfile!A357,Data!$AS:$AS,"0")</f>
        <v>0</v>
      </c>
      <c r="E357" s="234"/>
      <c r="F357" s="111" t="str">
        <f t="shared" si="20"/>
        <v/>
      </c>
      <c r="G357" s="234">
        <f>SUMIFS(Data!$BE:$BE,Data!$BB:$BB,MarketProfile!A357,Data!BG:BG,"0")</f>
        <v>0</v>
      </c>
      <c r="H357" s="234"/>
      <c r="I357" s="111" t="str">
        <f t="shared" si="21"/>
        <v/>
      </c>
    </row>
    <row r="358" spans="1:9" x14ac:dyDescent="0.25">
      <c r="A358" t="s">
        <v>430</v>
      </c>
      <c r="C358" s="3">
        <f>SUMIFS(Data!$AC:$AC,Data!$Z:$Z,MarketProfile!A358,Data!$AE:$AE,"0")</f>
        <v>39</v>
      </c>
      <c r="D358" s="234">
        <f>SUMIFS(Data!$AQ:$AQ,Data!$AN:$AN,MarketProfile!A358,Data!$AS:$AS,"0")</f>
        <v>23</v>
      </c>
      <c r="E358" s="234"/>
      <c r="F358" s="111">
        <f t="shared" si="20"/>
        <v>0.69565217391304346</v>
      </c>
      <c r="G358" s="234">
        <f>SUMIFS(Data!$BE:$BE,Data!$BB:$BB,MarketProfile!A358,Data!BG:BG,"0")</f>
        <v>33</v>
      </c>
      <c r="H358" s="234"/>
      <c r="I358" s="111">
        <f t="shared" si="21"/>
        <v>0.18181818181818182</v>
      </c>
    </row>
    <row r="359" spans="1:9" x14ac:dyDescent="0.25">
      <c r="A359" t="s">
        <v>431</v>
      </c>
      <c r="C359" s="3">
        <f>SUMIFS(Data!$AC:$AC,Data!$Z:$Z,MarketProfile!A359,Data!$AE:$AE,"0")</f>
        <v>679</v>
      </c>
      <c r="D359" s="234">
        <f>SUMIFS(Data!$AQ:$AQ,Data!$AN:$AN,MarketProfile!A359,Data!$AS:$AS,"0")</f>
        <v>624</v>
      </c>
      <c r="E359" s="234"/>
      <c r="F359" s="111">
        <f t="shared" si="20"/>
        <v>8.8141025641025647E-2</v>
      </c>
      <c r="G359" s="234">
        <f>SUMIFS(Data!$BE:$BE,Data!$BB:$BB,MarketProfile!A359,Data!BG:BG,"0")</f>
        <v>818</v>
      </c>
      <c r="H359" s="234"/>
      <c r="I359" s="111">
        <f t="shared" si="21"/>
        <v>-0.16992665036674817</v>
      </c>
    </row>
    <row r="360" spans="1:9" x14ac:dyDescent="0.25">
      <c r="A360" t="s">
        <v>432</v>
      </c>
      <c r="C360" s="3">
        <f>SUMIFS(Data!$AC:$AC,Data!$Z:$Z,MarketProfile!A360,Data!$AE:$AE,"0")</f>
        <v>0</v>
      </c>
      <c r="D360" s="234">
        <f>SUMIFS(Data!$AQ:$AQ,Data!$AN:$AN,MarketProfile!A360,Data!$AS:$AS,"0")</f>
        <v>0</v>
      </c>
      <c r="E360" s="234"/>
      <c r="F360" s="111" t="str">
        <f t="shared" si="20"/>
        <v/>
      </c>
      <c r="G360" s="234">
        <f>SUMIFS(Data!$BE:$BE,Data!$BB:$BB,MarketProfile!A360,Data!BG:BG,"0")</f>
        <v>0</v>
      </c>
      <c r="H360" s="234"/>
      <c r="I360" s="111" t="str">
        <f t="shared" si="21"/>
        <v/>
      </c>
    </row>
    <row r="361" spans="1:9" x14ac:dyDescent="0.25">
      <c r="A361" t="s">
        <v>127</v>
      </c>
      <c r="C361" s="3">
        <f>SUMIFS(Data!$AC:$AC,Data!$Z:$Z,MarketProfile!A361,Data!$AE:$AE,"0")</f>
        <v>0</v>
      </c>
      <c r="D361" s="234">
        <f>SUMIFS(Data!$AQ:$AQ,Data!$AN:$AN,MarketProfile!A361,Data!$AS:$AS,"0")</f>
        <v>0</v>
      </c>
      <c r="E361" s="234"/>
      <c r="F361" s="111" t="str">
        <f t="shared" si="20"/>
        <v/>
      </c>
      <c r="G361" s="234">
        <f>SUMIFS(Data!$BE:$BE,Data!$BB:$BB,MarketProfile!A361,Data!BG:BG,"0")</f>
        <v>0</v>
      </c>
      <c r="H361" s="234"/>
      <c r="I361" s="111" t="str">
        <f t="shared" si="21"/>
        <v/>
      </c>
    </row>
    <row r="362" spans="1:9" x14ac:dyDescent="0.25">
      <c r="A362" s="1" t="s">
        <v>165</v>
      </c>
      <c r="C362" s="4">
        <f>SUM(C354:C361)</f>
        <v>1269</v>
      </c>
      <c r="D362" s="253">
        <f>SUM(D354:E361)</f>
        <v>923</v>
      </c>
      <c r="E362" s="253">
        <f>SUM(E354:E361)</f>
        <v>0</v>
      </c>
      <c r="F362" s="105">
        <f t="shared" si="20"/>
        <v>0.37486457204767065</v>
      </c>
      <c r="G362" s="253">
        <f>SUM(G354:H361)</f>
        <v>1163</v>
      </c>
      <c r="H362" s="253">
        <f>SUM(H354:H361)</f>
        <v>0</v>
      </c>
      <c r="I362" s="105">
        <f t="shared" si="21"/>
        <v>9.1143594153052454E-2</v>
      </c>
    </row>
    <row r="363" spans="1:9" x14ac:dyDescent="0.25">
      <c r="A363" s="90" t="s">
        <v>119</v>
      </c>
      <c r="B363" s="90"/>
      <c r="C363" s="107"/>
      <c r="D363" s="90"/>
      <c r="E363" s="90"/>
      <c r="F363" s="90" t="s">
        <v>168</v>
      </c>
      <c r="G363" s="90"/>
      <c r="H363" s="68"/>
      <c r="I363" s="108" t="s">
        <v>168</v>
      </c>
    </row>
    <row r="364" spans="1:9" x14ac:dyDescent="0.25">
      <c r="A364" s="91" t="s">
        <v>14</v>
      </c>
      <c r="C364" s="3"/>
      <c r="F364" s="58"/>
      <c r="I364" s="111"/>
    </row>
    <row r="365" spans="1:9" x14ac:dyDescent="0.25">
      <c r="A365" t="s">
        <v>428</v>
      </c>
      <c r="C365" s="3">
        <f>SUMIFS(Data!$AB:$AB,Data!$Z:$Z,MarketProfile!A365,Data!$AE:$AE,"1")</f>
        <v>19795</v>
      </c>
      <c r="D365" s="234">
        <f>SUMIFS(Data!$AP:$AP,Data!$AN:$AN,MarketProfile!A365,Data!$AS:$AS,"1")</f>
        <v>12614</v>
      </c>
      <c r="E365" s="234"/>
      <c r="F365" s="111">
        <f t="shared" ref="F365:F373" si="22">IFERROR(IF(OR(AND(D365="",C365=""),AND(D365=0,C365=0)),"",
IF(OR(D365="",D365=0),1,
IF(OR(D365&lt;&gt;"",D365&lt;&gt;0),(C365-D365)/ABS(D365)))),-1)</f>
        <v>0.56928809259552882</v>
      </c>
      <c r="G365" s="234">
        <f>SUMIFS(Data!$BD:$BD,Data!$BB:$BB,MarketProfile!A365,Data!BG:BG,"1")</f>
        <v>18449</v>
      </c>
      <c r="H365" s="234"/>
      <c r="I365" s="111">
        <f t="shared" ref="I365:I373" si="23">IFERROR(IF(OR(AND(G365="",C365=""),AND(G365=0,C365=0)),"",
IF(OR(G365="",G365=0),1,
IF(OR(G365&lt;&gt;"",G365&lt;&gt;0),(C365-G365)/ABS(G365)))),-1)</f>
        <v>7.2957883896146131E-2</v>
      </c>
    </row>
    <row r="366" spans="1:9" x14ac:dyDescent="0.25">
      <c r="A366" t="s">
        <v>161</v>
      </c>
      <c r="C366" s="3">
        <f>SUMIFS(Data!$AB:$AB,Data!$Z:$Z,MarketProfile!A366,Data!$AE:$AE,"1")</f>
        <v>93824</v>
      </c>
      <c r="D366" s="234">
        <f>SUMIFS(Data!$AP:$AP,Data!$AN:$AN,MarketProfile!A366,Data!$AS:$AS,"1")</f>
        <v>64300</v>
      </c>
      <c r="E366" s="234"/>
      <c r="F366" s="111">
        <f t="shared" si="22"/>
        <v>0.45916018662519442</v>
      </c>
      <c r="G366" s="234">
        <f>SUMIFS(Data!$BD:$BD,Data!$BB:$BB,MarketProfile!A366,Data!BG:BG,"1")</f>
        <v>77478</v>
      </c>
      <c r="H366" s="234"/>
      <c r="I366" s="111">
        <f t="shared" si="23"/>
        <v>0.21097601899894164</v>
      </c>
    </row>
    <row r="367" spans="1:9" x14ac:dyDescent="0.25">
      <c r="A367" t="s">
        <v>429</v>
      </c>
      <c r="C367" s="3">
        <f>SUMIFS(Data!$AB:$AB,Data!$Z:$Z,MarketProfile!A367,Data!$AE:$AE,"1")</f>
        <v>64526</v>
      </c>
      <c r="D367" s="234">
        <f>SUMIFS(Data!$AP:$AP,Data!$AN:$AN,MarketProfile!A367,Data!$AS:$AS,"1")</f>
        <v>50118</v>
      </c>
      <c r="E367" s="234"/>
      <c r="F367" s="111">
        <f t="shared" si="22"/>
        <v>0.28748154355720501</v>
      </c>
      <c r="G367" s="234">
        <f>SUMIFS(Data!$BD:$BD,Data!$BB:$BB,MarketProfile!A367,Data!BG:BG,"1")</f>
        <v>56983</v>
      </c>
      <c r="H367" s="234"/>
      <c r="I367" s="111">
        <f t="shared" si="23"/>
        <v>0.13237281294421144</v>
      </c>
    </row>
    <row r="368" spans="1:9" x14ac:dyDescent="0.25">
      <c r="A368" t="s">
        <v>126</v>
      </c>
      <c r="C368" s="3">
        <f>SUMIFS(Data!$AB:$AB,Data!$Z:$Z,MarketProfile!A368,Data!$AE:$AE,"1")</f>
        <v>556</v>
      </c>
      <c r="D368" s="234">
        <f>SUMIFS(Data!$AP:$AP,Data!$AN:$AN,MarketProfile!A368,Data!$AS:$AS,"1")</f>
        <v>176</v>
      </c>
      <c r="E368" s="234"/>
      <c r="F368" s="111">
        <f t="shared" si="22"/>
        <v>2.1590909090909092</v>
      </c>
      <c r="G368" s="234">
        <f>SUMIFS(Data!$BD:$BD,Data!$BB:$BB,MarketProfile!A368,Data!BG:BG,"1")</f>
        <v>147</v>
      </c>
      <c r="H368" s="234"/>
      <c r="I368" s="111">
        <f t="shared" si="23"/>
        <v>2.7823129251700682</v>
      </c>
    </row>
    <row r="369" spans="1:9" x14ac:dyDescent="0.25">
      <c r="A369" t="s">
        <v>430</v>
      </c>
      <c r="C369" s="3">
        <f>SUMIFS(Data!$AB:$AB,Data!$Z:$Z,MarketProfile!A369,Data!$AE:$AE,"1")</f>
        <v>21176</v>
      </c>
      <c r="D369" s="234">
        <f>SUMIFS(Data!$AP:$AP,Data!$AN:$AN,MarketProfile!A369,Data!$AS:$AS,"1")</f>
        <v>23638</v>
      </c>
      <c r="E369" s="234"/>
      <c r="F369" s="111">
        <f t="shared" si="22"/>
        <v>-0.10415432777730772</v>
      </c>
      <c r="G369" s="234">
        <f>SUMIFS(Data!$BD:$BD,Data!$BB:$BB,MarketProfile!A369,Data!BG:BG,"1")</f>
        <v>19609</v>
      </c>
      <c r="H369" s="234"/>
      <c r="I369" s="111">
        <f t="shared" si="23"/>
        <v>7.9912285175174666E-2</v>
      </c>
    </row>
    <row r="370" spans="1:9" x14ac:dyDescent="0.25">
      <c r="A370" t="s">
        <v>431</v>
      </c>
      <c r="C370" s="3">
        <f>SUMIFS(Data!$AB:$AB,Data!$Z:$Z,MarketProfile!A370,Data!$AE:$AE,"1")</f>
        <v>70466</v>
      </c>
      <c r="D370" s="234">
        <f>SUMIFS(Data!$AP:$AP,Data!$AN:$AN,MarketProfile!A370,Data!$AS:$AS,"1")</f>
        <v>52677</v>
      </c>
      <c r="E370" s="234"/>
      <c r="F370" s="111">
        <f t="shared" si="22"/>
        <v>0.33769956527516753</v>
      </c>
      <c r="G370" s="234">
        <f>SUMIFS(Data!$BD:$BD,Data!$BB:$BB,MarketProfile!A370,Data!BG:BG,"1")</f>
        <v>56061</v>
      </c>
      <c r="H370" s="234"/>
      <c r="I370" s="111">
        <f t="shared" si="23"/>
        <v>0.2569522484436596</v>
      </c>
    </row>
    <row r="371" spans="1:9" x14ac:dyDescent="0.25">
      <c r="A371" t="s">
        <v>432</v>
      </c>
      <c r="C371" s="3">
        <f>SUMIFS(Data!$AB:$AB,Data!$Z:$Z,MarketProfile!A371,Data!$AE:$AE,"1")</f>
        <v>81</v>
      </c>
      <c r="D371" s="234">
        <f>SUMIFS(Data!$AP:$AP,Data!$AN:$AN,MarketProfile!A371,Data!$AS:$AS,"1")</f>
        <v>27</v>
      </c>
      <c r="E371" s="234"/>
      <c r="F371" s="111">
        <f t="shared" si="22"/>
        <v>2</v>
      </c>
      <c r="G371" s="234">
        <f>SUMIFS(Data!$BD:$BD,Data!$BB:$BB,MarketProfile!A371,Data!BG:BG,"1")</f>
        <v>10</v>
      </c>
      <c r="H371" s="234"/>
      <c r="I371" s="111">
        <f t="shared" si="23"/>
        <v>7.1</v>
      </c>
    </row>
    <row r="372" spans="1:9" x14ac:dyDescent="0.25">
      <c r="A372" t="s">
        <v>127</v>
      </c>
      <c r="C372" s="3">
        <f>SUMIFS(Data!$AB:$AB,Data!$Z:$Z,MarketProfile!A372,Data!$AE:$AE,"1")</f>
        <v>56</v>
      </c>
      <c r="D372" s="234">
        <f>SUMIFS(Data!$AP:$AP,Data!$AN:$AN,MarketProfile!A372,Data!$AS:$AS,"1")</f>
        <v>28</v>
      </c>
      <c r="E372" s="234"/>
      <c r="F372" s="111">
        <f t="shared" si="22"/>
        <v>1</v>
      </c>
      <c r="G372" s="234">
        <f>SUMIFS(Data!$BD:$BD,Data!$BB:$BB,MarketProfile!A372,Data!BG:BG,"1")</f>
        <v>26</v>
      </c>
      <c r="H372" s="234"/>
      <c r="I372" s="111">
        <f t="shared" si="23"/>
        <v>1.1538461538461537</v>
      </c>
    </row>
    <row r="373" spans="1:9" x14ac:dyDescent="0.25">
      <c r="A373" s="1" t="s">
        <v>164</v>
      </c>
      <c r="C373" s="4">
        <f>SUM(C365:C372)</f>
        <v>270480</v>
      </c>
      <c r="D373" s="253">
        <f>SUM(D365:E372)</f>
        <v>203578</v>
      </c>
      <c r="E373" s="253">
        <f>SUM(E365:E372)</f>
        <v>0</v>
      </c>
      <c r="F373" s="105">
        <f t="shared" si="22"/>
        <v>0.32863079507608878</v>
      </c>
      <c r="G373" s="253">
        <f>SUM(G365:H372)</f>
        <v>228763</v>
      </c>
      <c r="H373" s="253">
        <f>SUM(H365:H372)</f>
        <v>0</v>
      </c>
      <c r="I373" s="105">
        <f t="shared" si="23"/>
        <v>0.18235903533351111</v>
      </c>
    </row>
    <row r="374" spans="1:9" x14ac:dyDescent="0.25">
      <c r="A374" s="91" t="s">
        <v>15</v>
      </c>
      <c r="C374" s="3"/>
      <c r="F374" s="111"/>
      <c r="I374" s="111"/>
    </row>
    <row r="375" spans="1:9" x14ac:dyDescent="0.25">
      <c r="A375" t="s">
        <v>428</v>
      </c>
      <c r="C375" s="3">
        <f>SUMIFS(Data!$AB:$AB,Data!$Z:$Z,MarketProfile!A375,Data!$AE:$AE,"0")</f>
        <v>1196</v>
      </c>
      <c r="D375" s="234">
        <f>SUMIFS(Data!$AP:$AP,Data!$AN:$AN,MarketProfile!A375,Data!$AS:$AS,"0")</f>
        <v>571</v>
      </c>
      <c r="E375" s="234"/>
      <c r="F375" s="111">
        <f t="shared" ref="F375:F383" si="24">IFERROR(IF(OR(AND(D375="",C375=""),AND(D375=0,C375=0)),"",
IF(OR(D375="",D375=0),1,
IF(OR(D375&lt;&gt;"",D375&lt;&gt;0),(C375-D375)/ABS(D375)))),-1)</f>
        <v>1.0945709281961471</v>
      </c>
      <c r="G375" s="234">
        <f>SUMIFS(Data!$BD:$BD,Data!$BB:$BB,MarketProfile!A375,Data!BG:BG,"0")</f>
        <v>10</v>
      </c>
      <c r="H375" s="234"/>
      <c r="I375" s="111">
        <f t="shared" ref="I375:I383" si="25">IFERROR(IF(OR(AND(G375="",C375=""),AND(G375=0,C375=0)),"",
IF(OR(G375="",G375=0),1,
IF(OR(G375&lt;&gt;"",G375&lt;&gt;0),(C375-G375)/ABS(G375)))),-1)</f>
        <v>118.6</v>
      </c>
    </row>
    <row r="376" spans="1:9" x14ac:dyDescent="0.25">
      <c r="A376" t="s">
        <v>161</v>
      </c>
      <c r="C376" s="3">
        <f>SUMIFS(Data!$AB:$AB,Data!$Z:$Z,MarketProfile!A376,Data!$AE:$AE,"0")</f>
        <v>1751</v>
      </c>
      <c r="D376" s="234">
        <f>SUMIFS(Data!$AP:$AP,Data!$AN:$AN,MarketProfile!A376,Data!$AS:$AS,"0")</f>
        <v>2129</v>
      </c>
      <c r="E376" s="234"/>
      <c r="F376" s="111">
        <f t="shared" si="24"/>
        <v>-0.17754814466885863</v>
      </c>
      <c r="G376" s="234">
        <f>SUMIFS(Data!$BD:$BD,Data!$BB:$BB,MarketProfile!A376,Data!BG:BG,"0")</f>
        <v>888</v>
      </c>
      <c r="H376" s="234"/>
      <c r="I376" s="111">
        <f t="shared" si="25"/>
        <v>0.97184684684684686</v>
      </c>
    </row>
    <row r="377" spans="1:9" x14ac:dyDescent="0.25">
      <c r="A377" t="s">
        <v>429</v>
      </c>
      <c r="C377" s="3">
        <f>SUMIFS(Data!$AB:$AB,Data!$Z:$Z,MarketProfile!A377,Data!$AE:$AE,"0")</f>
        <v>2829</v>
      </c>
      <c r="D377" s="234">
        <f>SUMIFS(Data!$AP:$AP,Data!$AN:$AN,MarketProfile!A377,Data!$AS:$AS,"0")</f>
        <v>2336</v>
      </c>
      <c r="E377" s="234"/>
      <c r="F377" s="111">
        <f t="shared" si="24"/>
        <v>0.2110445205479452</v>
      </c>
      <c r="G377" s="234">
        <f>SUMIFS(Data!$BD:$BD,Data!$BB:$BB,MarketProfile!A377,Data!BG:BG,"0")</f>
        <v>5417</v>
      </c>
      <c r="H377" s="234"/>
      <c r="I377" s="111">
        <f t="shared" si="25"/>
        <v>-0.4777552150636884</v>
      </c>
    </row>
    <row r="378" spans="1:9" x14ac:dyDescent="0.25">
      <c r="A378" t="s">
        <v>126</v>
      </c>
      <c r="C378" s="3">
        <f>SUMIFS(Data!$AB:$AB,Data!$Z:$Z,MarketProfile!A378,Data!$AE:$AE,"0")</f>
        <v>0</v>
      </c>
      <c r="D378" s="234">
        <f>SUMIFS(Data!$AP:$AP,Data!$AN:$AN,MarketProfile!A378,Data!$AS:$AS,"0")</f>
        <v>0</v>
      </c>
      <c r="E378" s="234"/>
      <c r="F378" s="111" t="str">
        <f t="shared" si="24"/>
        <v/>
      </c>
      <c r="G378" s="234">
        <f>SUMIFS(Data!$BD:$BD,Data!$BB:$BB,MarketProfile!A378,Data!BG:BG,"0")</f>
        <v>0</v>
      </c>
      <c r="H378" s="234"/>
      <c r="I378" s="111" t="str">
        <f t="shared" si="25"/>
        <v/>
      </c>
    </row>
    <row r="379" spans="1:9" x14ac:dyDescent="0.25">
      <c r="A379" t="s">
        <v>430</v>
      </c>
      <c r="C379" s="3">
        <f>SUMIFS(Data!$AB:$AB,Data!$Z:$Z,MarketProfile!A379,Data!$AE:$AE,"0")</f>
        <v>116</v>
      </c>
      <c r="D379" s="234">
        <f>SUMIFS(Data!$AP:$AP,Data!$AN:$AN,MarketProfile!A379,Data!$AS:$AS,"0")</f>
        <v>757</v>
      </c>
      <c r="E379" s="234"/>
      <c r="F379" s="111">
        <f t="shared" si="24"/>
        <v>-0.84676354029062084</v>
      </c>
      <c r="G379" s="234">
        <f>SUMIFS(Data!$BD:$BD,Data!$BB:$BB,MarketProfile!A379,Data!BG:BG,"0")</f>
        <v>352</v>
      </c>
      <c r="H379" s="234"/>
      <c r="I379" s="111">
        <f t="shared" si="25"/>
        <v>-0.67045454545454541</v>
      </c>
    </row>
    <row r="380" spans="1:9" x14ac:dyDescent="0.25">
      <c r="A380" t="s">
        <v>431</v>
      </c>
      <c r="C380" s="3">
        <f>SUMIFS(Data!$AB:$AB,Data!$Z:$Z,MarketProfile!A380,Data!$AE:$AE,"0")</f>
        <v>6200</v>
      </c>
      <c r="D380" s="234">
        <f>SUMIFS(Data!$AP:$AP,Data!$AN:$AN,MarketProfile!A380,Data!$AS:$AS,"0")</f>
        <v>5016</v>
      </c>
      <c r="E380" s="234"/>
      <c r="F380" s="111">
        <f t="shared" si="24"/>
        <v>0.23604465709728867</v>
      </c>
      <c r="G380" s="234">
        <f>SUMIFS(Data!$BD:$BD,Data!$BB:$BB,MarketProfile!A380,Data!BG:BG,"0")</f>
        <v>7367</v>
      </c>
      <c r="H380" s="234"/>
      <c r="I380" s="111">
        <f t="shared" si="25"/>
        <v>-0.15840912175919641</v>
      </c>
    </row>
    <row r="381" spans="1:9" x14ac:dyDescent="0.25">
      <c r="A381" t="s">
        <v>432</v>
      </c>
      <c r="C381" s="3">
        <f>SUMIFS(Data!$AB:$AB,Data!$Z:$Z,MarketProfile!A381,Data!$AE:$AE,"0")</f>
        <v>0</v>
      </c>
      <c r="D381" s="234">
        <f>SUMIFS(Data!$AP:$AP,Data!$AN:$AN,MarketProfile!A381,Data!$AS:$AS,"0")</f>
        <v>0</v>
      </c>
      <c r="E381" s="234"/>
      <c r="F381" s="111" t="str">
        <f t="shared" si="24"/>
        <v/>
      </c>
      <c r="G381" s="234">
        <f>SUMIFS(Data!$BD:$BD,Data!$BB:$BB,MarketProfile!A381,Data!BG:BG,"0")</f>
        <v>0</v>
      </c>
      <c r="H381" s="234"/>
      <c r="I381" s="111" t="str">
        <f t="shared" si="25"/>
        <v/>
      </c>
    </row>
    <row r="382" spans="1:9" x14ac:dyDescent="0.25">
      <c r="A382" t="s">
        <v>127</v>
      </c>
      <c r="C382" s="3">
        <f>SUMIFS(Data!$AB:$AB,Data!$Z:$Z,MarketProfile!A382,Data!$AE:$AE,"0")</f>
        <v>0</v>
      </c>
      <c r="D382" s="234">
        <f>SUMIFS(Data!$AP:$AP,Data!$AN:$AN,MarketProfile!A382,Data!$AS:$AS,"0")</f>
        <v>0</v>
      </c>
      <c r="E382" s="234"/>
      <c r="F382" s="111" t="str">
        <f t="shared" si="24"/>
        <v/>
      </c>
      <c r="G382" s="234">
        <f>SUMIFS(Data!$BD:$BD,Data!$BB:$BB,MarketProfile!A382,Data!BG:BG,"0")</f>
        <v>0</v>
      </c>
      <c r="H382" s="234"/>
      <c r="I382" s="111" t="str">
        <f t="shared" si="25"/>
        <v/>
      </c>
    </row>
    <row r="383" spans="1:9" x14ac:dyDescent="0.25">
      <c r="A383" s="1" t="s">
        <v>165</v>
      </c>
      <c r="C383" s="4">
        <f>SUM(C375:C382)</f>
        <v>12092</v>
      </c>
      <c r="D383" s="253">
        <f>SUM(D375:E382)</f>
        <v>10809</v>
      </c>
      <c r="E383" s="253">
        <v>34213</v>
      </c>
      <c r="F383" s="105">
        <f t="shared" si="24"/>
        <v>0.11869738181145342</v>
      </c>
      <c r="G383" s="253">
        <f>SUM(G375:H382)</f>
        <v>14034</v>
      </c>
      <c r="H383" s="253">
        <f>SUM(H375:H382)</f>
        <v>0</v>
      </c>
      <c r="I383" s="105">
        <f t="shared" si="25"/>
        <v>-0.1383782243123842</v>
      </c>
    </row>
    <row r="384" spans="1:9" x14ac:dyDescent="0.25">
      <c r="A384" s="90" t="s">
        <v>172</v>
      </c>
      <c r="B384" s="90"/>
      <c r="C384" s="107"/>
      <c r="D384" s="90"/>
      <c r="E384" s="90"/>
      <c r="F384" s="90" t="s">
        <v>168</v>
      </c>
      <c r="G384" s="90"/>
      <c r="H384" s="90"/>
      <c r="I384" s="108" t="s">
        <v>168</v>
      </c>
    </row>
    <row r="385" spans="1:9" x14ac:dyDescent="0.25">
      <c r="A385" s="91" t="s">
        <v>14</v>
      </c>
      <c r="C385" s="3"/>
      <c r="F385" s="58"/>
      <c r="I385" s="111"/>
    </row>
    <row r="386" spans="1:9" x14ac:dyDescent="0.25">
      <c r="A386" t="s">
        <v>428</v>
      </c>
      <c r="C386" s="3">
        <f>SUMIFS(Data!$AA:$AA,Data!$Z:$Z,MarketProfile!A386,Data!$AE:$AE,"1")/1000</f>
        <v>8258749.1966199996</v>
      </c>
      <c r="D386" s="234">
        <f>SUMIFS(Data!$AO:$AO,Data!$AN:$AN,MarketProfile!A386,Data!$AS:$AS,"1")/1000</f>
        <v>5463471.9515699996</v>
      </c>
      <c r="E386" s="234"/>
      <c r="F386" s="111">
        <f t="shared" ref="F386:F394" si="26">IFERROR(IF(OR(AND(D386="",C386=""),AND(D386=0,C386=0)),"",
IF(OR(D386="",D386=0),1,
IF(OR(D386&lt;&gt;"",D386&lt;&gt;0),(C386-D386)/ABS(D386)))),-1)</f>
        <v>0.51163019959253953</v>
      </c>
      <c r="G386" s="234">
        <f>SUMIFS(Data!$BC:$BC,Data!$BB:$BB,MarketProfile!A386,Data!BG:BG,"1")/1000</f>
        <v>8885717.5558700003</v>
      </c>
      <c r="H386" s="234"/>
      <c r="I386" s="111">
        <f t="shared" ref="I386:I394" si="27">IFERROR(IF(OR(AND(G386="",C386=""),AND(G386=0,C386=0)),"",
IF(OR(G386="",G386=0),1,
IF(OR(G386&lt;&gt;"",G386&lt;&gt;0),(C386-G386)/ABS(G386)))),-1)</f>
        <v>-7.0559114141076726E-2</v>
      </c>
    </row>
    <row r="387" spans="1:9" x14ac:dyDescent="0.25">
      <c r="A387" t="s">
        <v>161</v>
      </c>
      <c r="C387" s="3">
        <f>SUMIFS(Data!$AA:$AA,Data!$Z:$Z,MarketProfile!A387,Data!$AE:$AE,"1")/1000</f>
        <v>36544815.08587499</v>
      </c>
      <c r="D387" s="234">
        <f>SUMIFS(Data!$AO:$AO,Data!$AN:$AN,MarketProfile!A387,Data!$AS:$AS,"1")/1000</f>
        <v>24896886.102435</v>
      </c>
      <c r="E387" s="234"/>
      <c r="F387" s="111">
        <f t="shared" si="26"/>
        <v>0.46784681969930297</v>
      </c>
      <c r="G387" s="234">
        <f>SUMIFS(Data!$BC:$BC,Data!$BB:$BB,MarketProfile!A387,Data!BG:BG,"1")/1000</f>
        <v>35758612.937014997</v>
      </c>
      <c r="H387" s="234"/>
      <c r="I387" s="111">
        <f t="shared" si="27"/>
        <v>2.1986371514040669E-2</v>
      </c>
    </row>
    <row r="388" spans="1:9" x14ac:dyDescent="0.25">
      <c r="A388" t="s">
        <v>429</v>
      </c>
      <c r="C388" s="3">
        <f>SUMIFS(Data!$AA:$AA,Data!$Z:$Z,MarketProfile!A388,Data!$AE:$AE,"1")/1000</f>
        <v>24383597.96813</v>
      </c>
      <c r="D388" s="234">
        <f>SUMIFS(Data!$AO:$AO,Data!$AN:$AN,MarketProfile!A388,Data!$AS:$AS,"1")/1000</f>
        <v>19376561.678029999</v>
      </c>
      <c r="E388" s="234"/>
      <c r="F388" s="111">
        <f t="shared" si="26"/>
        <v>0.25840685118955853</v>
      </c>
      <c r="G388" s="234">
        <f>SUMIFS(Data!$BC:$BC,Data!$BB:$BB,MarketProfile!A388,Data!BG:BG,"1")/1000</f>
        <v>26853679.68259</v>
      </c>
      <c r="H388" s="234"/>
      <c r="I388" s="111">
        <f t="shared" si="27"/>
        <v>-9.1982988687446962E-2</v>
      </c>
    </row>
    <row r="389" spans="1:9" x14ac:dyDescent="0.25">
      <c r="A389" t="s">
        <v>126</v>
      </c>
      <c r="C389" s="3">
        <f>SUMIFS(Data!$AA:$AA,Data!$Z:$Z,MarketProfile!A389,Data!$AE:$AE,"1")/1000</f>
        <v>214678.22</v>
      </c>
      <c r="D389" s="234">
        <f>SUMIFS(Data!$AO:$AO,Data!$AN:$AN,MarketProfile!A389,Data!$AS:$AS,"1")/1000</f>
        <v>64660.419983</v>
      </c>
      <c r="E389" s="234"/>
      <c r="F389" s="111">
        <f t="shared" si="26"/>
        <v>2.3200870030915586</v>
      </c>
      <c r="G389" s="234">
        <f>SUMIFS(Data!$BC:$BC,Data!$BB:$BB,MarketProfile!A389,Data!BG:BG,"1")/1000</f>
        <v>43919.18</v>
      </c>
      <c r="H389" s="234"/>
      <c r="I389" s="111">
        <f t="shared" si="27"/>
        <v>3.8880288748560425</v>
      </c>
    </row>
    <row r="390" spans="1:9" x14ac:dyDescent="0.25">
      <c r="A390" t="s">
        <v>430</v>
      </c>
      <c r="C390" s="3">
        <f>SUMIFS(Data!$AA:$AA,Data!$Z:$Z,MarketProfile!A390,Data!$AE:$AE,"1")/1000</f>
        <v>9056483.2346399985</v>
      </c>
      <c r="D390" s="234">
        <f>SUMIFS(Data!$AO:$AO,Data!$AN:$AN,MarketProfile!A390,Data!$AS:$AS,"1")/1000</f>
        <v>10308232.771200001</v>
      </c>
      <c r="E390" s="234"/>
      <c r="F390" s="111">
        <f t="shared" si="26"/>
        <v>-0.12143202082681376</v>
      </c>
      <c r="G390" s="234">
        <f>SUMIFS(Data!$BC:$BC,Data!$BB:$BB,MarketProfile!A390,Data!BG:BG,"1")/1000</f>
        <v>10550396.27998</v>
      </c>
      <c r="H390" s="234"/>
      <c r="I390" s="111">
        <f t="shared" si="27"/>
        <v>-0.1415978135508322</v>
      </c>
    </row>
    <row r="391" spans="1:9" x14ac:dyDescent="0.25">
      <c r="A391" t="s">
        <v>431</v>
      </c>
      <c r="C391" s="3">
        <f>SUMIFS(Data!$AA:$AA,Data!$Z:$Z,MarketProfile!A391,Data!$AE:$AE,"1")/1000</f>
        <v>25801371.234919999</v>
      </c>
      <c r="D391" s="234">
        <f>SUMIFS(Data!$AO:$AO,Data!$AN:$AN,MarketProfile!A391,Data!$AS:$AS,"1")/1000</f>
        <v>19423570.953039989</v>
      </c>
      <c r="E391" s="234"/>
      <c r="F391" s="111">
        <f t="shared" si="26"/>
        <v>0.32835364296809794</v>
      </c>
      <c r="G391" s="234">
        <f>SUMIFS(Data!$BC:$BC,Data!$BB:$BB,MarketProfile!A391,Data!BG:BG,"1")/1000</f>
        <v>25844604.402400002</v>
      </c>
      <c r="H391" s="234"/>
      <c r="I391" s="111">
        <f t="shared" si="27"/>
        <v>-1.6728121199637452E-3</v>
      </c>
    </row>
    <row r="392" spans="1:9" x14ac:dyDescent="0.25">
      <c r="A392" t="s">
        <v>432</v>
      </c>
      <c r="C392" s="3">
        <f>SUMIFS(Data!$AA:$AA,Data!$Z:$Z,MarketProfile!A392,Data!$AE:$AE,"1")/1000</f>
        <v>16186.889995</v>
      </c>
      <c r="D392" s="234">
        <f>SUMIFS(Data!$AO:$AO,Data!$AN:$AN,MarketProfile!A392,Data!$AS:$AS,"1")/1000</f>
        <v>5363.69</v>
      </c>
      <c r="E392" s="234"/>
      <c r="F392" s="111">
        <f t="shared" si="26"/>
        <v>2.0178645661848464</v>
      </c>
      <c r="G392" s="234">
        <f>SUMIFS(Data!$BC:$BC,Data!$BB:$BB,MarketProfile!A392,Data!BG:BG,"1")/1000</f>
        <v>1529.64</v>
      </c>
      <c r="H392" s="234"/>
      <c r="I392" s="111">
        <f t="shared" si="27"/>
        <v>9.582156582594596</v>
      </c>
    </row>
    <row r="393" spans="1:9" x14ac:dyDescent="0.25">
      <c r="A393" t="s">
        <v>127</v>
      </c>
      <c r="C393" s="3">
        <f>SUMIFS(Data!$AA:$AA,Data!$Z:$Z,MarketProfile!A393,Data!$AE:$AE,"1")/1000</f>
        <v>7879.2400399999997</v>
      </c>
      <c r="D393" s="234">
        <f>SUMIFS(Data!$AO:$AO,Data!$AN:$AN,MarketProfile!A393,Data!$AS:$AS,"1")/1000</f>
        <v>4116.0799200000001</v>
      </c>
      <c r="E393" s="234"/>
      <c r="F393" s="111">
        <f t="shared" si="26"/>
        <v>0.91425827319698871</v>
      </c>
      <c r="G393" s="234">
        <f>SUMIFS(Data!$BC:$BC,Data!$BB:$BB,MarketProfile!A393,Data!BG:BG,"1")/1000</f>
        <v>4440.34</v>
      </c>
      <c r="H393" s="234"/>
      <c r="I393" s="111">
        <f t="shared" si="27"/>
        <v>0.77446772994860746</v>
      </c>
    </row>
    <row r="394" spans="1:9" x14ac:dyDescent="0.25">
      <c r="A394" s="1" t="s">
        <v>164</v>
      </c>
      <c r="C394" s="4">
        <f>SUM(C386:C393)</f>
        <v>104283761.07021998</v>
      </c>
      <c r="D394" s="253">
        <f>SUM(D386:E393)</f>
        <v>79542863.646177977</v>
      </c>
      <c r="E394" s="253">
        <f>SUM(E386:E393)</f>
        <v>0</v>
      </c>
      <c r="F394" s="105">
        <f t="shared" si="26"/>
        <v>0.31103855569110878</v>
      </c>
      <c r="G394" s="253">
        <f>SUM(G386:H393)</f>
        <v>107942900.01785502</v>
      </c>
      <c r="H394" s="253">
        <f>SUM(H386:H393)</f>
        <v>0</v>
      </c>
      <c r="I394" s="105">
        <f t="shared" si="27"/>
        <v>-3.3898838617730069E-2</v>
      </c>
    </row>
    <row r="395" spans="1:9" x14ac:dyDescent="0.25">
      <c r="A395" s="91" t="s">
        <v>15</v>
      </c>
      <c r="C395" s="3"/>
      <c r="E395" s="66"/>
      <c r="F395" s="111" t="s">
        <v>168</v>
      </c>
      <c r="H395" s="66"/>
      <c r="I395" s="111"/>
    </row>
    <row r="396" spans="1:9" x14ac:dyDescent="0.25">
      <c r="A396" t="s">
        <v>428</v>
      </c>
      <c r="C396" s="3">
        <f>SUMIFS(Data!$AA:$AA,Data!$Z:$Z,MarketProfile!A396,Data!$AE:$AE,"0")/1000</f>
        <v>10135.115019999999</v>
      </c>
      <c r="D396" s="234">
        <f>SUMIFS(Data!$AO:$AO,Data!$AN:$AN,MarketProfile!A396,Data!$AS:$AS,"0")/1000</f>
        <v>4938.7</v>
      </c>
      <c r="E396" s="234"/>
      <c r="F396" s="111">
        <f t="shared" ref="F396:F404" si="28">IFERROR(IF(OR(AND(D396="",C396=""),AND(D396=0,C396=0)),"",
IF(OR(D396="",D396=0),1,
IF(OR(D396&lt;&gt;"",D396&lt;&gt;0),(C396-D396)/ABS(D396)))),-1)</f>
        <v>1.0521827646951627</v>
      </c>
      <c r="G396" s="234">
        <f>SUMIFS(Data!$BC:$BC,Data!$BB:$BB,MarketProfile!A396,Data!BG:BG,"0")/1000</f>
        <v>272.3</v>
      </c>
      <c r="H396" s="234"/>
      <c r="I396" s="111">
        <f t="shared" ref="I396:I404" si="29">IFERROR(IF(OR(AND(G396="",C396=""),AND(G396=0,C396=0)),"",
IF(OR(G396="",G396=0),1,
IF(OR(G396&lt;&gt;"",G396&lt;&gt;0),(C396-G396)/ABS(G396)))),-1)</f>
        <v>36.220400367242014</v>
      </c>
    </row>
    <row r="397" spans="1:9" x14ac:dyDescent="0.25">
      <c r="A397" t="s">
        <v>161</v>
      </c>
      <c r="C397" s="3">
        <f>SUMIFS(Data!$AA:$AA,Data!$Z:$Z,MarketProfile!A397,Data!$AE:$AE,"0")/1000</f>
        <v>21462.860260000001</v>
      </c>
      <c r="D397" s="234">
        <f>SUMIFS(Data!$AO:$AO,Data!$AN:$AN,MarketProfile!A397,Data!$AS:$AS,"0")/1000</f>
        <v>29752.436870000001</v>
      </c>
      <c r="E397" s="234"/>
      <c r="F397" s="111">
        <f t="shared" si="28"/>
        <v>-0.27861840850954134</v>
      </c>
      <c r="G397" s="234">
        <f>SUMIFS(Data!$BC:$BC,Data!$BB:$BB,MarketProfile!A397,Data!BG:BG,"0")/1000</f>
        <v>11210.824480000001</v>
      </c>
      <c r="H397" s="234"/>
      <c r="I397" s="111">
        <f t="shared" si="29"/>
        <v>0.91447652206932051</v>
      </c>
    </row>
    <row r="398" spans="1:9" x14ac:dyDescent="0.25">
      <c r="A398" t="s">
        <v>429</v>
      </c>
      <c r="C398" s="3">
        <f>SUMIFS(Data!$AA:$AA,Data!$Z:$Z,MarketProfile!A398,Data!$AE:$AE,"0")/1000</f>
        <v>39877.9202</v>
      </c>
      <c r="D398" s="234">
        <f>SUMIFS(Data!$AO:$AO,Data!$AN:$AN,MarketProfile!A398,Data!$AS:$AS,"0")/1000</f>
        <v>23211.073760000003</v>
      </c>
      <c r="E398" s="234"/>
      <c r="F398" s="111">
        <f t="shared" si="28"/>
        <v>0.71805581302844457</v>
      </c>
      <c r="G398" s="234">
        <f>SUMIFS(Data!$BC:$BC,Data!$BB:$BB,MarketProfile!A398,Data!BG:BG,"0")/1000</f>
        <v>283554.67327999999</v>
      </c>
      <c r="H398" s="234"/>
      <c r="I398" s="111">
        <f t="shared" si="29"/>
        <v>-0.85936426390468268</v>
      </c>
    </row>
    <row r="399" spans="1:9" x14ac:dyDescent="0.25">
      <c r="A399" t="s">
        <v>126</v>
      </c>
      <c r="C399" s="3">
        <f>SUMIFS(Data!$AA:$AA,Data!$Z:$Z,MarketProfile!A399,Data!$AE:$AE,"0")/1000</f>
        <v>0</v>
      </c>
      <c r="D399" s="234">
        <f>SUMIFS(Data!$AO:$AO,Data!$AN:$AN,MarketProfile!A399,Data!$AS:$AS,"0")/1000</f>
        <v>0</v>
      </c>
      <c r="E399" s="234"/>
      <c r="F399" s="111" t="str">
        <f t="shared" si="28"/>
        <v/>
      </c>
      <c r="G399" s="234">
        <f>SUMIFS(Data!$BC:$BC,Data!$BB:$BB,MarketProfile!A399,Data!BG:BG,"0")/1000</f>
        <v>0</v>
      </c>
      <c r="H399" s="234"/>
      <c r="I399" s="111" t="str">
        <f t="shared" si="29"/>
        <v/>
      </c>
    </row>
    <row r="400" spans="1:9" x14ac:dyDescent="0.25">
      <c r="A400" t="s">
        <v>430</v>
      </c>
      <c r="C400" s="3">
        <f>SUMIFS(Data!$AA:$AA,Data!$Z:$Z,MarketProfile!A400,Data!$AE:$AE,"0")/1000</f>
        <v>1862.3409999999999</v>
      </c>
      <c r="D400" s="234">
        <f>SUMIFS(Data!$AO:$AO,Data!$AN:$AN,MarketProfile!A400,Data!$AS:$AS,"0")/1000</f>
        <v>18038.594000000001</v>
      </c>
      <c r="E400" s="234"/>
      <c r="F400" s="111">
        <f t="shared" si="28"/>
        <v>-0.89675797348729058</v>
      </c>
      <c r="G400" s="234">
        <f>SUMIFS(Data!$BC:$BC,Data!$BB:$BB,MarketProfile!A400,Data!BG:BG,"0")/1000</f>
        <v>6627.8</v>
      </c>
      <c r="H400" s="234"/>
      <c r="I400" s="111">
        <f t="shared" si="29"/>
        <v>-0.71901068227767895</v>
      </c>
    </row>
    <row r="401" spans="1:9" x14ac:dyDescent="0.25">
      <c r="A401" t="s">
        <v>431</v>
      </c>
      <c r="C401" s="3">
        <f>SUMIFS(Data!$AA:$AA,Data!$Z:$Z,MarketProfile!A401,Data!$AE:$AE,"0")/1000</f>
        <v>82348.188239999989</v>
      </c>
      <c r="D401" s="234">
        <f>SUMIFS(Data!$AO:$AO,Data!$AN:$AN,MarketProfile!A401,Data!$AS:$AS,"0")/1000</f>
        <v>71090.837310000003</v>
      </c>
      <c r="E401" s="234"/>
      <c r="F401" s="111">
        <f>IFERROR(IF(OR(AND(D401="",C401=""),AND(D401=0,C401=0)),"",
IF(OR(D401="",D401=0),1,
IF(OR(D401&lt;&gt;"",D401&lt;&gt;0),(C401-D401)/ABS(D401)))),-1)</f>
        <v>0.15835164355866249</v>
      </c>
      <c r="G401" s="234">
        <f>SUMIFS(Data!$BC:$BC,Data!$BB:$BB,MarketProfile!A401,Data!BG:BG,"0")/1000</f>
        <v>119416.1692</v>
      </c>
      <c r="H401" s="234"/>
      <c r="I401" s="111">
        <f t="shared" si="29"/>
        <v>-0.31041006597622472</v>
      </c>
    </row>
    <row r="402" spans="1:9" x14ac:dyDescent="0.25">
      <c r="A402" t="s">
        <v>432</v>
      </c>
      <c r="C402" s="3">
        <f>SUMIFS(Data!$AA:$AA,Data!$Z:$Z,MarketProfile!A402,Data!$AE:$AE,"0")/1000</f>
        <v>0</v>
      </c>
      <c r="D402" s="234">
        <f>SUMIFS(Data!$AO:$AO,Data!$AN:$AN,MarketProfile!A402,Data!$AS:$AS,"0")/1000</f>
        <v>0</v>
      </c>
      <c r="E402" s="234"/>
      <c r="F402" s="111" t="str">
        <f t="shared" si="28"/>
        <v/>
      </c>
      <c r="G402" s="234">
        <f>SUMIFS(Data!$BC:$BC,Data!$BB:$BB,MarketProfile!A402,Data!BG:BG,"0")/1000</f>
        <v>0</v>
      </c>
      <c r="H402" s="234"/>
      <c r="I402" s="111" t="str">
        <f t="shared" si="29"/>
        <v/>
      </c>
    </row>
    <row r="403" spans="1:9" x14ac:dyDescent="0.25">
      <c r="A403" t="s">
        <v>127</v>
      </c>
      <c r="C403" s="3">
        <f>SUMIFS(Data!$AA:$AA,Data!$Z:$Z,MarketProfile!A403,Data!$AE:$AE,"0")/1000</f>
        <v>0</v>
      </c>
      <c r="D403" s="234">
        <f>SUMIFS(Data!$AO:$AO,Data!$AN:$AN,MarketProfile!A403,Data!$AS:$AS,"0")/1000</f>
        <v>0</v>
      </c>
      <c r="E403" s="234"/>
      <c r="F403" s="111" t="str">
        <f t="shared" si="28"/>
        <v/>
      </c>
      <c r="G403" s="234">
        <f>SUMIFS(Data!$BC:$BC,Data!$BB:$BB,MarketProfile!A403,Data!BG:BG,"0")/1000</f>
        <v>0</v>
      </c>
      <c r="H403" s="234"/>
      <c r="I403" s="111" t="str">
        <f t="shared" si="29"/>
        <v/>
      </c>
    </row>
    <row r="404" spans="1:9" x14ac:dyDescent="0.25">
      <c r="A404" s="1" t="s">
        <v>165</v>
      </c>
      <c r="C404" s="4">
        <f>SUM(C396:C403)</f>
        <v>155686.42472000001</v>
      </c>
      <c r="D404" s="253">
        <f>SUM(D396:E403)</f>
        <v>147031.64194</v>
      </c>
      <c r="E404" s="253">
        <f>SUM(E396:E403)</f>
        <v>0</v>
      </c>
      <c r="F404" s="105">
        <f t="shared" si="28"/>
        <v>5.8863402909775112E-2</v>
      </c>
      <c r="G404" s="253">
        <f>SUM(G396:H403)</f>
        <v>421081.76695999998</v>
      </c>
      <c r="H404" s="253">
        <f>SUM(H396:H403)</f>
        <v>0</v>
      </c>
      <c r="I404" s="105">
        <f t="shared" si="29"/>
        <v>-0.63027032530052718</v>
      </c>
    </row>
    <row r="405" spans="1:9" x14ac:dyDescent="0.25">
      <c r="A405" s="90" t="s">
        <v>124</v>
      </c>
      <c r="B405" s="90"/>
      <c r="C405" s="107"/>
      <c r="D405" s="90"/>
      <c r="E405" s="90"/>
      <c r="F405" s="90" t="s">
        <v>168</v>
      </c>
      <c r="G405" s="90"/>
      <c r="H405" s="90"/>
      <c r="I405" s="106" t="s">
        <v>168</v>
      </c>
    </row>
    <row r="406" spans="1:9" x14ac:dyDescent="0.25">
      <c r="A406" s="91" t="s">
        <v>14</v>
      </c>
      <c r="C406" s="3"/>
      <c r="I406" s="111"/>
    </row>
    <row r="407" spans="1:9" x14ac:dyDescent="0.25">
      <c r="A407" t="s">
        <v>428</v>
      </c>
      <c r="C407" s="3">
        <f>SUMIFS(Data!$AK:$AK,Data!$AG:$AG,MarketProfile!A407,Data!$AL:$AL,"1")</f>
        <v>11444</v>
      </c>
      <c r="D407" s="234">
        <f>SUMIFS(Data!$AY:$AY,Data!$AU:$AU,MarketProfile!A407,Data!$AZ:$AZ,"1")</f>
        <v>10884</v>
      </c>
      <c r="E407" s="234"/>
      <c r="F407" s="111">
        <f t="shared" ref="F407:F422" si="30">IFERROR(IF(OR(AND(D407="",C407=""),AND(D407=0,C407=0)),"",
IF(OR(D407="",D407=0),1,
IF(OR(D407&lt;&gt;"",D407&lt;&gt;0),(C407-D407)/ABS(D407)))),-1)</f>
        <v>5.1451672179345827E-2</v>
      </c>
      <c r="G407" s="234">
        <f>SUMIFS(Data!$BL:$BL,Data!$BH:$BH,MarketProfile!A407,Data!$BM:$BM,"1")</f>
        <v>11187</v>
      </c>
      <c r="H407" s="234"/>
      <c r="I407" s="111">
        <f t="shared" ref="I407:I414" si="31">IFERROR(IF(OR(AND(G407="",C407=""),AND(G407=0,C407=0)),"",
IF(OR(G407="",G407=0),1,
IF(OR(G407&lt;&gt;"",G407&lt;&gt;0),(C407-G407)/ABS(G407)))),-1)</f>
        <v>2.2973093769553945E-2</v>
      </c>
    </row>
    <row r="408" spans="1:9" x14ac:dyDescent="0.25">
      <c r="A408" t="s">
        <v>161</v>
      </c>
      <c r="C408" s="3">
        <f>SUMIFS(Data!$AK:$AK,Data!$AG:$AG,MarketProfile!A408,Data!$AL:$AL,"1")</f>
        <v>25124</v>
      </c>
      <c r="D408" s="234">
        <f>SUMIFS(Data!$AY:$AY,Data!$AU:$AU,MarketProfile!A408,Data!$AZ:$AZ,"1")</f>
        <v>17511</v>
      </c>
      <c r="E408" s="234"/>
      <c r="F408" s="111">
        <f t="shared" si="30"/>
        <v>0.43475529667066415</v>
      </c>
      <c r="G408" s="234">
        <f>SUMIFS(Data!$BL:$BL,Data!$BH:$BH,MarketProfile!A408,Data!$BM:$BM,"1")</f>
        <v>21743</v>
      </c>
      <c r="H408" s="234"/>
      <c r="I408" s="111">
        <f t="shared" si="31"/>
        <v>0.15549832129880881</v>
      </c>
    </row>
    <row r="409" spans="1:9" x14ac:dyDescent="0.25">
      <c r="A409" t="s">
        <v>429</v>
      </c>
      <c r="C409" s="3">
        <f>SUMIFS(Data!$AK:$AK,Data!$AG:$AG,MarketProfile!A409,Data!$AL:$AL,"1")</f>
        <v>26800</v>
      </c>
      <c r="D409" s="234">
        <f>SUMIFS(Data!$AY:$AY,Data!$AU:$AU,MarketProfile!A409,Data!$AZ:$AZ,"1")</f>
        <v>25661</v>
      </c>
      <c r="E409" s="234"/>
      <c r="F409" s="111">
        <f t="shared" si="30"/>
        <v>4.4386422976501305E-2</v>
      </c>
      <c r="G409" s="234">
        <f>SUMIFS(Data!$BL:$BL,Data!$BH:$BH,MarketProfile!A409,Data!$BM:$BM,"1")</f>
        <v>25814</v>
      </c>
      <c r="H409" s="234"/>
      <c r="I409" s="111">
        <f t="shared" si="31"/>
        <v>3.8196327574184549E-2</v>
      </c>
    </row>
    <row r="410" spans="1:9" x14ac:dyDescent="0.25">
      <c r="A410" t="s">
        <v>126</v>
      </c>
      <c r="C410" s="3">
        <f>SUMIFS(Data!$AK:$AK,Data!$AG:$AG,MarketProfile!A410,Data!$AL:$AL,"1")</f>
        <v>233</v>
      </c>
      <c r="D410" s="234">
        <f>SUMIFS(Data!$AY:$AY,Data!$AU:$AU,MarketProfile!A410,Data!$AZ:$AZ,"1")</f>
        <v>305</v>
      </c>
      <c r="E410" s="234"/>
      <c r="F410" s="111">
        <f t="shared" si="30"/>
        <v>-0.23606557377049181</v>
      </c>
      <c r="G410" s="234">
        <f>SUMIFS(Data!$BL:$BL,Data!$BH:$BH,MarketProfile!A410,Data!$BM:$BM,"1")</f>
        <v>221</v>
      </c>
      <c r="H410" s="234"/>
      <c r="I410" s="111">
        <f t="shared" si="31"/>
        <v>5.4298642533936653E-2</v>
      </c>
    </row>
    <row r="411" spans="1:9" x14ac:dyDescent="0.25">
      <c r="A411" t="s">
        <v>430</v>
      </c>
      <c r="C411" s="3">
        <f>SUMIFS(Data!$AK:$AK,Data!$AG:$AG,MarketProfile!A411,Data!$AL:$AL,"1")</f>
        <v>8157</v>
      </c>
      <c r="D411" s="234">
        <f>SUMIFS(Data!$AY:$AY,Data!$AU:$AU,MarketProfile!A411,Data!$AZ:$AZ,"1")</f>
        <v>6004</v>
      </c>
      <c r="E411" s="234"/>
      <c r="F411" s="111">
        <f t="shared" si="30"/>
        <v>0.35859427048634246</v>
      </c>
      <c r="G411" s="234">
        <f>SUMIFS(Data!$BL:$BL,Data!$BH:$BH,MarketProfile!A411,Data!$BM:$BM,"1")</f>
        <v>6540</v>
      </c>
      <c r="H411" s="234"/>
      <c r="I411" s="111">
        <f t="shared" si="31"/>
        <v>0.24724770642201835</v>
      </c>
    </row>
    <row r="412" spans="1:9" x14ac:dyDescent="0.25">
      <c r="A412" t="s">
        <v>431</v>
      </c>
      <c r="C412" s="3">
        <f>SUMIFS(Data!$AK:$AK,Data!$AG:$AG,MarketProfile!A412,Data!$AL:$AL,"1")</f>
        <v>29374</v>
      </c>
      <c r="D412" s="234">
        <f>SUMIFS(Data!$AY:$AY,Data!$AU:$AU,MarketProfile!A412,Data!$AZ:$AZ,"1")</f>
        <v>27215</v>
      </c>
      <c r="E412" s="234"/>
      <c r="F412" s="111">
        <f t="shared" si="30"/>
        <v>7.9331251148263823E-2</v>
      </c>
      <c r="G412" s="234">
        <f>SUMIFS(Data!$BL:$BL,Data!$BH:$BH,MarketProfile!A412,Data!$BM:$BM,"1")</f>
        <v>24252</v>
      </c>
      <c r="H412" s="234"/>
      <c r="I412" s="111">
        <f t="shared" si="31"/>
        <v>0.2111990763648359</v>
      </c>
    </row>
    <row r="413" spans="1:9" x14ac:dyDescent="0.25">
      <c r="A413" t="s">
        <v>432</v>
      </c>
      <c r="C413" s="3">
        <f>SUMIFS(Data!$AK:$AK,Data!$AG:$AG,MarketProfile!A413,Data!$AL:$AL,"1")</f>
        <v>30</v>
      </c>
      <c r="D413" s="234">
        <f>SUMIFS(Data!$AY:$AY,Data!$AU:$AU,MarketProfile!A413,Data!$AZ:$AZ,"1")</f>
        <v>34</v>
      </c>
      <c r="E413" s="234"/>
      <c r="F413" s="111">
        <f t="shared" si="30"/>
        <v>-0.11764705882352941</v>
      </c>
      <c r="G413" s="234">
        <f>SUMIFS(Data!$BL:$BL,Data!$BH:$BH,MarketProfile!A413,Data!$BM:$BM,"1")</f>
        <v>73</v>
      </c>
      <c r="H413" s="234"/>
      <c r="I413" s="111">
        <f t="shared" si="31"/>
        <v>-0.58904109589041098</v>
      </c>
    </row>
    <row r="414" spans="1:9" x14ac:dyDescent="0.25">
      <c r="A414" t="s">
        <v>127</v>
      </c>
      <c r="C414" s="3">
        <f>SUMIFS(Data!$AK:$AK,Data!$AG:$AG,MarketProfile!A414,Data!$AL:$AL,"1")</f>
        <v>28</v>
      </c>
      <c r="D414" s="234">
        <f>SUMIFS(Data!$AY:$AY,Data!$AU:$AU,MarketProfile!A414,Data!$AZ:$AZ,"1")</f>
        <v>28</v>
      </c>
      <c r="E414" s="234"/>
      <c r="F414" s="111">
        <f t="shared" si="30"/>
        <v>0</v>
      </c>
      <c r="G414" s="234">
        <f>SUMIFS(Data!$BL:$BL,Data!$BH:$BH,MarketProfile!A414,Data!$BM:$BM,"1")</f>
        <v>30</v>
      </c>
      <c r="H414" s="234"/>
      <c r="I414" s="111">
        <f t="shared" si="31"/>
        <v>-6.6666666666666666E-2</v>
      </c>
    </row>
    <row r="415" spans="1:9" x14ac:dyDescent="0.25">
      <c r="A415" s="91" t="s">
        <v>15</v>
      </c>
      <c r="C415" s="3"/>
      <c r="E415" s="3"/>
      <c r="F415" s="111"/>
      <c r="H415" s="3"/>
      <c r="I415" s="111"/>
    </row>
    <row r="416" spans="1:9" x14ac:dyDescent="0.25">
      <c r="A416" t="s">
        <v>428</v>
      </c>
      <c r="C416" s="3">
        <f>SUMIFS(Data!$AK:$AK,Data!$AG:$AG,MarketProfile!A416,Data!$AL:$AL,"0")</f>
        <v>1787</v>
      </c>
      <c r="D416" s="234">
        <f>SUMIFS(Data!$AY:$AY,Data!$AU:$AU,MarketProfile!A416,Data!$AZ:$AZ,"0")</f>
        <v>748</v>
      </c>
      <c r="E416" s="234"/>
      <c r="F416" s="111">
        <f t="shared" si="30"/>
        <v>1.3890374331550801</v>
      </c>
      <c r="G416" s="234">
        <f>SUMIFS(Data!$BL:$BL,Data!$BH:$BH,MarketProfile!A416,Data!$BM:$BM,"0")</f>
        <v>100</v>
      </c>
      <c r="H416" s="234"/>
      <c r="I416" s="111">
        <f t="shared" ref="I416:I423" si="32">IFERROR(IF(OR(AND(G416="",C416=""),AND(G416=0,C416=0)),"",
IF(OR(G416="",G416=0),1,
IF(OR(G416&lt;&gt;"",G416&lt;&gt;0),(C416-G416)/ABS(G416)))),-1)</f>
        <v>16.87</v>
      </c>
    </row>
    <row r="417" spans="1:9" x14ac:dyDescent="0.25">
      <c r="A417" t="s">
        <v>161</v>
      </c>
      <c r="C417" s="3">
        <f>SUMIFS(Data!$AK:$AK,Data!$AG:$AG,MarketProfile!A417,Data!$AL:$AL,"0")</f>
        <v>2508</v>
      </c>
      <c r="D417" s="234">
        <f>SUMIFS(Data!$AY:$AY,Data!$AU:$AU,MarketProfile!A417,Data!$AZ:$AZ,"0")</f>
        <v>1446</v>
      </c>
      <c r="E417" s="234"/>
      <c r="F417" s="111">
        <f t="shared" si="30"/>
        <v>0.73443983402489632</v>
      </c>
      <c r="G417" s="234">
        <f>SUMIFS(Data!$BL:$BL,Data!$BH:$BH,MarketProfile!A417,Data!$BM:$BM,"0")</f>
        <v>1255</v>
      </c>
      <c r="H417" s="234"/>
      <c r="I417" s="111">
        <f t="shared" si="32"/>
        <v>0.99840637450199199</v>
      </c>
    </row>
    <row r="418" spans="1:9" x14ac:dyDescent="0.25">
      <c r="A418" t="s">
        <v>429</v>
      </c>
      <c r="C418" s="3">
        <f>SUMIFS(Data!$AK:$AK,Data!$AG:$AG,MarketProfile!A418,Data!$AL:$AL,"0")</f>
        <v>14155</v>
      </c>
      <c r="D418" s="234">
        <f>SUMIFS(Data!$AY:$AY,Data!$AU:$AU,MarketProfile!A418,Data!$AZ:$AZ,"0")</f>
        <v>12694</v>
      </c>
      <c r="E418" s="234"/>
      <c r="F418" s="111">
        <f t="shared" si="30"/>
        <v>0.11509374507641405</v>
      </c>
      <c r="G418" s="234">
        <f>SUMIFS(Data!$BL:$BL,Data!$BH:$BH,MarketProfile!A418,Data!$BM:$BM,"0")</f>
        <v>15486</v>
      </c>
      <c r="H418" s="234"/>
      <c r="I418" s="111">
        <f t="shared" si="32"/>
        <v>-8.59485987343407E-2</v>
      </c>
    </row>
    <row r="419" spans="1:9" x14ac:dyDescent="0.25">
      <c r="A419" t="s">
        <v>126</v>
      </c>
      <c r="C419" s="3">
        <f>SUMIFS(Data!$AK:$AK,Data!$AG:$AG,MarketProfile!A419,Data!$AL:$AL,"0")</f>
        <v>0</v>
      </c>
      <c r="D419" s="234">
        <f>SUMIFS(Data!$AY:$AY,Data!$AU:$AU,MarketProfile!A419,Data!$AZ:$AZ,"0")</f>
        <v>0</v>
      </c>
      <c r="E419" s="234"/>
      <c r="F419" s="111" t="str">
        <f t="shared" si="30"/>
        <v/>
      </c>
      <c r="G419" s="234">
        <f>SUMIFS(Data!$BL:$BL,Data!$BH:$BH,MarketProfile!A419,Data!$BM:$BM,"0")</f>
        <v>0</v>
      </c>
      <c r="H419" s="234"/>
      <c r="I419" s="111" t="str">
        <f t="shared" si="32"/>
        <v/>
      </c>
    </row>
    <row r="420" spans="1:9" x14ac:dyDescent="0.25">
      <c r="A420" t="s">
        <v>430</v>
      </c>
      <c r="C420" s="3">
        <f>SUMIFS(Data!$AK:$AK,Data!$AG:$AG,MarketProfile!A420,Data!$AL:$AL,"0")</f>
        <v>620</v>
      </c>
      <c r="D420" s="234">
        <f>SUMIFS(Data!$AY:$AY,Data!$AU:$AU,MarketProfile!A420,Data!$AZ:$AZ,"0")</f>
        <v>550</v>
      </c>
      <c r="E420" s="234"/>
      <c r="F420" s="111">
        <f t="shared" si="30"/>
        <v>0.12727272727272726</v>
      </c>
      <c r="G420" s="234">
        <f>SUMIFS(Data!$BL:$BL,Data!$BH:$BH,MarketProfile!A420,Data!$BM:$BM,"0")</f>
        <v>999</v>
      </c>
      <c r="H420" s="234"/>
      <c r="I420" s="111">
        <f t="shared" si="32"/>
        <v>-0.37937937937937938</v>
      </c>
    </row>
    <row r="421" spans="1:9" x14ac:dyDescent="0.25">
      <c r="A421" t="s">
        <v>431</v>
      </c>
      <c r="C421" s="3">
        <f>SUMIFS(Data!$AK:$AK,Data!$AG:$AG,MarketProfile!A421,Data!$AL:$AL,"0")</f>
        <v>17675</v>
      </c>
      <c r="D421" s="234">
        <f>SUMIFS(Data!$AY:$AY,Data!$AU:$AU,MarketProfile!A421,Data!$AZ:$AZ,"0")</f>
        <v>15118</v>
      </c>
      <c r="E421" s="234"/>
      <c r="F421" s="111">
        <f t="shared" si="30"/>
        <v>0.16913612911760814</v>
      </c>
      <c r="G421" s="234">
        <f>SUMIFS(Data!$BL:$BL,Data!$BH:$BH,MarketProfile!A421,Data!$BM:$BM,"0")</f>
        <v>23840</v>
      </c>
      <c r="H421" s="234"/>
      <c r="I421" s="111">
        <f t="shared" si="32"/>
        <v>-0.2585989932885906</v>
      </c>
    </row>
    <row r="422" spans="1:9" x14ac:dyDescent="0.25">
      <c r="A422" t="s">
        <v>432</v>
      </c>
      <c r="C422" s="3">
        <f>SUMIFS(Data!$AK:$AK,Data!$AG:$AG,MarketProfile!A422,Data!$AL:$AL,"0")</f>
        <v>0</v>
      </c>
      <c r="D422" s="234">
        <f>SUMIFS(Data!$AY:$AY,Data!$AU:$AU,MarketProfile!A422,Data!$AZ:$AZ,"0")</f>
        <v>0</v>
      </c>
      <c r="E422" s="234"/>
      <c r="F422" s="111" t="str">
        <f t="shared" si="30"/>
        <v/>
      </c>
      <c r="G422" s="234">
        <f>SUMIFS(Data!$BL:$BL,Data!$BH:$BH,MarketProfile!A422,Data!$BM:$BM,"0")</f>
        <v>0</v>
      </c>
      <c r="H422" s="234"/>
      <c r="I422" s="111" t="str">
        <f t="shared" si="32"/>
        <v/>
      </c>
    </row>
    <row r="423" spans="1:9" x14ac:dyDescent="0.25">
      <c r="A423" t="s">
        <v>127</v>
      </c>
      <c r="C423" s="3">
        <f>SUMIFS(Data!$AK:$AK,Data!$AG:$AG,MarketProfile!A423,Data!$AL:$AL,"0")</f>
        <v>0</v>
      </c>
      <c r="D423" s="234">
        <f>SUMIFS(Data!$AY:$AY,Data!$AU:$AU,MarketProfile!A423,Data!$AZ:$AZ,"0")</f>
        <v>0</v>
      </c>
      <c r="E423" s="234"/>
      <c r="F423" s="111" t="str">
        <f t="shared" ref="F423" si="33">IFERROR(IF(OR(AND(C423="",D423=""),AND(C423=0,D423=0)),"",
IF(OR(C423="",C423=0),1,
IF(OR(C423&lt;&gt;"",C423&lt;&gt;0),(D423-C423)/ABS(C423)))),-1)</f>
        <v/>
      </c>
      <c r="G423" s="234">
        <f>SUMIFS(Data!$BL:$BL,Data!$BH:$BH,MarketProfile!A423,Data!$BM:$BM,"0")</f>
        <v>0</v>
      </c>
      <c r="H423" s="234"/>
      <c r="I423" s="111" t="str">
        <f t="shared" si="32"/>
        <v/>
      </c>
    </row>
  </sheetData>
  <mergeCells count="158">
    <mergeCell ref="G403:H403"/>
    <mergeCell ref="G404:H404"/>
    <mergeCell ref="G407:H407"/>
    <mergeCell ref="G408:H408"/>
    <mergeCell ref="G409:H409"/>
    <mergeCell ref="G398:H398"/>
    <mergeCell ref="G399:H399"/>
    <mergeCell ref="G400:H400"/>
    <mergeCell ref="G401:H401"/>
    <mergeCell ref="G402:H402"/>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392:H392"/>
    <mergeCell ref="G393:H393"/>
    <mergeCell ref="G394:H394"/>
    <mergeCell ref="G396:H396"/>
    <mergeCell ref="G397:H397"/>
    <mergeCell ref="G387:H387"/>
    <mergeCell ref="G388:H388"/>
    <mergeCell ref="G389:H389"/>
    <mergeCell ref="G390:H390"/>
    <mergeCell ref="G391:H391"/>
    <mergeCell ref="G380:H380"/>
    <mergeCell ref="G381:H381"/>
    <mergeCell ref="G382:H382"/>
    <mergeCell ref="G383:H383"/>
    <mergeCell ref="G386:H386"/>
    <mergeCell ref="G375:H375"/>
    <mergeCell ref="G376:H376"/>
    <mergeCell ref="G377:H377"/>
    <mergeCell ref="G378:H378"/>
    <mergeCell ref="G379:H379"/>
    <mergeCell ref="G370:H370"/>
    <mergeCell ref="G371:H371"/>
    <mergeCell ref="G372:H372"/>
    <mergeCell ref="G373:H373"/>
    <mergeCell ref="G362:H362"/>
    <mergeCell ref="G365:H365"/>
    <mergeCell ref="G366:H366"/>
    <mergeCell ref="G367:H367"/>
    <mergeCell ref="G368:H368"/>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45:H345"/>
    <mergeCell ref="G346:H346"/>
    <mergeCell ref="G347:H347"/>
    <mergeCell ref="G348:H348"/>
    <mergeCell ref="G349:H349"/>
    <mergeCell ref="G350:H350"/>
    <mergeCell ref="G351:H351"/>
    <mergeCell ref="G352:H352"/>
    <mergeCell ref="G357:H357"/>
    <mergeCell ref="G354:H354"/>
    <mergeCell ref="G355:H355"/>
    <mergeCell ref="G356:H356"/>
    <mergeCell ref="D414:E414"/>
    <mergeCell ref="D416:E416"/>
    <mergeCell ref="D417:E417"/>
    <mergeCell ref="D418:E418"/>
    <mergeCell ref="D419:E419"/>
    <mergeCell ref="D409:E409"/>
    <mergeCell ref="D410:E410"/>
    <mergeCell ref="D411:E411"/>
    <mergeCell ref="D412:E412"/>
    <mergeCell ref="D413:E413"/>
    <mergeCell ref="D402:E402"/>
    <mergeCell ref="D403:E403"/>
    <mergeCell ref="D404:E404"/>
    <mergeCell ref="D407:E407"/>
    <mergeCell ref="D408:E408"/>
    <mergeCell ref="D397:E397"/>
    <mergeCell ref="D398:E398"/>
    <mergeCell ref="D399:E399"/>
    <mergeCell ref="D400:E400"/>
    <mergeCell ref="D401:E401"/>
    <mergeCell ref="D391:E391"/>
    <mergeCell ref="D375:E375"/>
    <mergeCell ref="D376:E376"/>
    <mergeCell ref="D377:E377"/>
    <mergeCell ref="D378:E378"/>
    <mergeCell ref="D368:E368"/>
    <mergeCell ref="D369:E369"/>
    <mergeCell ref="D370:E370"/>
    <mergeCell ref="D371:E371"/>
    <mergeCell ref="D372:E372"/>
    <mergeCell ref="D361:E361"/>
    <mergeCell ref="D362:E362"/>
    <mergeCell ref="D365:E365"/>
    <mergeCell ref="D366:E366"/>
    <mergeCell ref="D367:E367"/>
    <mergeCell ref="D356:E356"/>
    <mergeCell ref="D357:E357"/>
    <mergeCell ref="D358:E358"/>
    <mergeCell ref="D359:E359"/>
    <mergeCell ref="D360:E360"/>
    <mergeCell ref="D350:E350"/>
    <mergeCell ref="D351:E351"/>
    <mergeCell ref="D352:E352"/>
    <mergeCell ref="D354:E354"/>
    <mergeCell ref="D355:E355"/>
    <mergeCell ref="D345:E345"/>
    <mergeCell ref="D346:E346"/>
    <mergeCell ref="D347:E347"/>
    <mergeCell ref="D348:E348"/>
    <mergeCell ref="D349:E349"/>
    <mergeCell ref="D344:E344"/>
    <mergeCell ref="G344:H344"/>
    <mergeCell ref="F96:H97"/>
    <mergeCell ref="G8:I9"/>
    <mergeCell ref="A13:A15"/>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s>
  <hyperlinks>
    <hyperlink ref="A291" r:id="rId1" display="https://www.jse.co.za/trade/derivative-market/equity-derivatives/reports" xr:uid="{00000000-0004-0000-0000-000000000000}"/>
    <hyperlink ref="A293"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 customWidth="1"/>
    <col min="2" max="2" width="22.44140625" customWidth="1"/>
    <col min="3" max="3" width="17" bestFit="1" customWidth="1"/>
    <col min="4" max="4" width="18.88671875" customWidth="1"/>
    <col min="5" max="5" width="16.109375" customWidth="1"/>
    <col min="6" max="6" width="16" bestFit="1" customWidth="1"/>
    <col min="7" max="7" width="12.44140625" bestFit="1" customWidth="1"/>
    <col min="8" max="8" width="12.5546875" bestFit="1" customWidth="1"/>
    <col min="9" max="9" width="34.44140625" bestFit="1" customWidth="1"/>
    <col min="10" max="10" width="11.88671875" customWidth="1"/>
    <col min="13" max="13" width="15.5546875" style="2" bestFit="1" customWidth="1"/>
    <col min="14" max="14" width="23.5546875" customWidth="1"/>
    <col min="15" max="15" width="17.44140625" bestFit="1" customWidth="1"/>
    <col min="16" max="16" width="14.109375" bestFit="1" customWidth="1"/>
    <col min="17" max="17" width="25.5546875" bestFit="1" customWidth="1"/>
    <col min="18" max="18" width="28.44140625" customWidth="1"/>
    <col min="19" max="19" width="25" bestFit="1" customWidth="1"/>
    <col min="20" max="20" width="14.44140625" bestFit="1" customWidth="1"/>
    <col min="21" max="21" width="16.109375" bestFit="1" customWidth="1"/>
    <col min="22" max="22" width="13.44140625" bestFit="1" customWidth="1"/>
    <col min="23" max="23" width="16.5546875" bestFit="1" customWidth="1"/>
    <col min="24" max="24" width="14.88671875" bestFit="1" customWidth="1"/>
    <col min="25" max="25" width="23.109375" customWidth="1"/>
    <col min="26" max="27" width="9.109375" customWidth="1"/>
    <col min="28" max="28" width="13.88671875" customWidth="1"/>
    <col min="29" max="30" width="9.109375" customWidth="1"/>
    <col min="31" max="31" width="17.109375" customWidth="1"/>
    <col min="32" max="32" width="30.5546875" customWidth="1"/>
    <col min="33" max="38" width="11.5546875" customWidth="1"/>
    <col min="39" max="39" width="25.5546875" customWidth="1"/>
    <col min="40" max="45" width="9.109375" customWidth="1"/>
    <col min="46" max="46" width="31.44140625" customWidth="1"/>
    <col min="47" max="52" width="9.109375" customWidth="1"/>
    <col min="53" max="53" width="27.5546875" customWidth="1"/>
    <col min="54" max="54" width="9.109375" customWidth="1"/>
    <col min="55" max="58" width="15" customWidth="1"/>
    <col min="59" max="59" width="9.109375" customWidth="1"/>
    <col min="60" max="60" width="19.109375" customWidth="1"/>
    <col min="66" max="66" width="14" bestFit="1" customWidth="1"/>
    <col min="67" max="67" width="44.88671875" customWidth="1"/>
    <col min="68" max="68" width="13.5546875" bestFit="1" customWidth="1"/>
    <col min="69" max="69" width="15.44140625" bestFit="1" customWidth="1"/>
    <col min="70" max="70" width="12.44140625" bestFit="1" customWidth="1"/>
    <col min="71" max="71" width="27.88671875" customWidth="1"/>
    <col min="72" max="80" width="12.44140625" customWidth="1"/>
    <col min="81" max="81" width="24.44140625" customWidth="1"/>
    <col min="82" max="82" width="39.5546875" customWidth="1"/>
    <col min="83" max="83" width="18" bestFit="1" customWidth="1"/>
    <col min="84" max="84" width="19.88671875" customWidth="1"/>
    <col min="87" max="87" width="14.5546875" customWidth="1"/>
    <col min="90" max="90" width="22.44140625" customWidth="1"/>
    <col min="91" max="91" width="12.44140625" customWidth="1"/>
    <col min="92" max="92" width="12.109375" customWidth="1"/>
    <col min="96" max="96" width="18.5546875" bestFit="1" customWidth="1"/>
    <col min="97" max="97" width="12.5546875" customWidth="1"/>
    <col min="98" max="108" width="7.88671875" customWidth="1"/>
    <col min="110" max="110" width="19.5546875" bestFit="1" customWidth="1"/>
    <col min="111" max="111" width="22.44140625" bestFit="1" customWidth="1"/>
    <col min="112" max="112" width="13.5546875" bestFit="1" customWidth="1"/>
    <col min="113" max="113" width="18.5546875" bestFit="1" customWidth="1"/>
    <col min="114" max="114" width="22.44140625" bestFit="1" customWidth="1"/>
    <col min="115" max="115" width="13.5546875" bestFit="1" customWidth="1"/>
    <col min="116" max="116" width="28.44140625" bestFit="1" customWidth="1"/>
    <col min="117" max="117" width="22.44140625" bestFit="1" customWidth="1"/>
    <col min="118" max="118" width="13.5546875" bestFit="1" customWidth="1"/>
  </cols>
  <sheetData>
    <row r="1" spans="1:118" x14ac:dyDescent="0.25">
      <c r="A1" s="96" t="s">
        <v>183</v>
      </c>
      <c r="B1" t="s">
        <v>522</v>
      </c>
      <c r="C1" t="s">
        <v>523</v>
      </c>
      <c r="D1" t="s">
        <v>524</v>
      </c>
      <c r="E1" s="101" t="s">
        <v>190</v>
      </c>
      <c r="F1" t="s">
        <v>524</v>
      </c>
      <c r="G1" t="s">
        <v>522</v>
      </c>
      <c r="H1" t="s">
        <v>523</v>
      </c>
      <c r="I1" s="101" t="s">
        <v>191</v>
      </c>
      <c r="J1" s="101" t="s">
        <v>193</v>
      </c>
      <c r="K1" s="139" t="s">
        <v>525</v>
      </c>
      <c r="L1" s="139" t="s">
        <v>526</v>
      </c>
      <c r="M1" s="141" t="s">
        <v>523</v>
      </c>
      <c r="N1" s="101" t="s">
        <v>196</v>
      </c>
      <c r="O1" s="139" t="s">
        <v>491</v>
      </c>
      <c r="P1" s="139" t="s">
        <v>492</v>
      </c>
      <c r="Q1" s="139" t="s">
        <v>493</v>
      </c>
      <c r="R1" s="101" t="s">
        <v>419</v>
      </c>
      <c r="S1" s="139"/>
      <c r="T1" s="147"/>
      <c r="U1" s="147"/>
      <c r="V1" s="147"/>
      <c r="W1" s="147"/>
      <c r="X1" s="147"/>
      <c r="Y1" s="143" t="s">
        <v>425</v>
      </c>
      <c r="Z1" s="139" t="s">
        <v>488</v>
      </c>
      <c r="AA1" s="139" t="s">
        <v>629</v>
      </c>
      <c r="AB1" s="139" t="s">
        <v>630</v>
      </c>
      <c r="AC1" s="139" t="s">
        <v>631</v>
      </c>
      <c r="AD1" s="139" t="s">
        <v>632</v>
      </c>
      <c r="AE1" s="139" t="s">
        <v>633</v>
      </c>
      <c r="AF1" s="143" t="s">
        <v>433</v>
      </c>
      <c r="AG1" s="139" t="s">
        <v>488</v>
      </c>
      <c r="AH1" s="139" t="s">
        <v>629</v>
      </c>
      <c r="AI1" s="139" t="s">
        <v>630</v>
      </c>
      <c r="AJ1" s="139" t="s">
        <v>631</v>
      </c>
      <c r="AK1" s="139" t="s">
        <v>632</v>
      </c>
      <c r="AL1" s="139" t="s">
        <v>633</v>
      </c>
      <c r="AM1" s="143" t="s">
        <v>427</v>
      </c>
      <c r="AN1" s="139" t="s">
        <v>488</v>
      </c>
      <c r="AO1" s="139" t="s">
        <v>629</v>
      </c>
      <c r="AP1" s="139" t="s">
        <v>630</v>
      </c>
      <c r="AQ1" s="139" t="s">
        <v>631</v>
      </c>
      <c r="AR1" s="139" t="s">
        <v>632</v>
      </c>
      <c r="AS1" s="139" t="s">
        <v>633</v>
      </c>
      <c r="AT1" s="143" t="s">
        <v>434</v>
      </c>
      <c r="AU1" s="139" t="s">
        <v>488</v>
      </c>
      <c r="AV1" s="139" t="s">
        <v>629</v>
      </c>
      <c r="AW1" s="139" t="s">
        <v>630</v>
      </c>
      <c r="AX1" s="139" t="s">
        <v>631</v>
      </c>
      <c r="AY1" s="139" t="s">
        <v>632</v>
      </c>
      <c r="AZ1" s="139" t="s">
        <v>633</v>
      </c>
      <c r="BA1" s="143" t="s">
        <v>426</v>
      </c>
      <c r="BB1" s="139" t="s">
        <v>488</v>
      </c>
      <c r="BC1" s="139" t="s">
        <v>629</v>
      </c>
      <c r="BD1" s="139" t="s">
        <v>630</v>
      </c>
      <c r="BE1" s="139" t="s">
        <v>631</v>
      </c>
      <c r="BF1" s="139" t="s">
        <v>632</v>
      </c>
      <c r="BG1" s="139" t="s">
        <v>633</v>
      </c>
      <c r="BH1" s="143" t="s">
        <v>488</v>
      </c>
      <c r="BI1" s="139" t="s">
        <v>629</v>
      </c>
      <c r="BJ1" s="139" t="s">
        <v>630</v>
      </c>
      <c r="BK1" s="139" t="s">
        <v>631</v>
      </c>
      <c r="BL1" s="139" t="s">
        <v>632</v>
      </c>
      <c r="BM1" s="139" t="s">
        <v>633</v>
      </c>
      <c r="BN1" s="139"/>
      <c r="BO1" s="143" t="s">
        <v>435</v>
      </c>
      <c r="BP1" s="153" t="s">
        <v>629</v>
      </c>
      <c r="BQ1" s="153" t="s">
        <v>630</v>
      </c>
      <c r="BR1" s="153" t="s">
        <v>631</v>
      </c>
      <c r="BS1" s="151" t="s">
        <v>468</v>
      </c>
      <c r="BT1" s="155" t="s">
        <v>675</v>
      </c>
      <c r="BU1" s="155" t="s">
        <v>676</v>
      </c>
      <c r="BV1" s="155" t="s">
        <v>677</v>
      </c>
      <c r="BW1" s="155" t="s">
        <v>678</v>
      </c>
      <c r="BX1" s="155" t="s">
        <v>679</v>
      </c>
      <c r="BY1" s="155" t="s">
        <v>680</v>
      </c>
      <c r="BZ1" s="155" t="s">
        <v>681</v>
      </c>
      <c r="CA1" s="155" t="s">
        <v>682</v>
      </c>
      <c r="CB1" s="155" t="s">
        <v>683</v>
      </c>
      <c r="CC1" s="156" t="s">
        <v>469</v>
      </c>
      <c r="CD1" s="157" t="s">
        <v>686</v>
      </c>
      <c r="CE1" s="157" t="s">
        <v>687</v>
      </c>
      <c r="CF1" s="156" t="s">
        <v>474</v>
      </c>
      <c r="CG1" s="155" t="s">
        <v>6</v>
      </c>
      <c r="CH1" s="155" t="s">
        <v>688</v>
      </c>
      <c r="CI1" s="156" t="s">
        <v>476</v>
      </c>
      <c r="CJ1" t="s">
        <v>107</v>
      </c>
      <c r="CK1">
        <v>37385</v>
      </c>
      <c r="CL1" s="156" t="s">
        <v>479</v>
      </c>
      <c r="CM1" t="s">
        <v>107</v>
      </c>
      <c r="CN1">
        <v>14362</v>
      </c>
      <c r="CO1" s="156" t="s">
        <v>482</v>
      </c>
      <c r="CP1" t="s">
        <v>107</v>
      </c>
      <c r="CQ1">
        <v>1012</v>
      </c>
      <c r="CR1" s="156" t="s">
        <v>485</v>
      </c>
      <c r="CS1" s="164" t="s">
        <v>692</v>
      </c>
      <c r="CT1" s="163" t="s">
        <v>693</v>
      </c>
      <c r="CU1" s="163" t="s">
        <v>694</v>
      </c>
      <c r="CV1" s="163" t="s">
        <v>695</v>
      </c>
      <c r="CW1" s="163" t="s">
        <v>696</v>
      </c>
      <c r="CX1" s="163" t="s">
        <v>697</v>
      </c>
      <c r="CY1" s="163" t="s">
        <v>698</v>
      </c>
      <c r="CZ1" s="163" t="s">
        <v>699</v>
      </c>
      <c r="DA1" s="163" t="s">
        <v>700</v>
      </c>
      <c r="DB1" s="163" t="s">
        <v>701</v>
      </c>
      <c r="DC1" s="163" t="s">
        <v>702</v>
      </c>
      <c r="DD1" s="163" t="s">
        <v>703</v>
      </c>
      <c r="DF1" s="96" t="s">
        <v>496</v>
      </c>
      <c r="DG1" s="213" t="s">
        <v>713</v>
      </c>
      <c r="DH1" s="213" t="s">
        <v>714</v>
      </c>
      <c r="DI1" s="96" t="s">
        <v>497</v>
      </c>
      <c r="DJ1" s="213" t="s">
        <v>713</v>
      </c>
      <c r="DK1" s="213" t="s">
        <v>714</v>
      </c>
      <c r="DL1" s="96" t="s">
        <v>498</v>
      </c>
      <c r="DM1" s="213" t="s">
        <v>713</v>
      </c>
      <c r="DN1" s="213" t="s">
        <v>714</v>
      </c>
    </row>
    <row r="2" spans="1:118" x14ac:dyDescent="0.25">
      <c r="B2">
        <v>7315584977</v>
      </c>
      <c r="C2">
        <v>512142814709.28168</v>
      </c>
      <c r="D2">
        <v>7594578</v>
      </c>
      <c r="F2">
        <v>2089</v>
      </c>
      <c r="G2">
        <v>718785408</v>
      </c>
      <c r="H2">
        <v>41397603999.761673</v>
      </c>
      <c r="J2" s="100" t="str">
        <f>K2&amp;L2</f>
        <v>ABuy</v>
      </c>
      <c r="K2" s="138" t="s">
        <v>527</v>
      </c>
      <c r="L2" s="138" t="s">
        <v>528</v>
      </c>
      <c r="M2" s="142">
        <v>247483753258.21591</v>
      </c>
      <c r="O2" s="138">
        <v>74981526608.570007</v>
      </c>
      <c r="P2" s="138">
        <v>-87973259546.740005</v>
      </c>
      <c r="Q2" s="138">
        <v>-12991732938.17</v>
      </c>
      <c r="S2" s="138"/>
      <c r="T2" s="148"/>
      <c r="U2" s="148"/>
      <c r="V2" s="148"/>
      <c r="W2" s="148"/>
      <c r="X2" s="148"/>
      <c r="Z2" s="138" t="s">
        <v>634</v>
      </c>
      <c r="AA2" s="138">
        <v>4379117.5599999996</v>
      </c>
      <c r="AB2" s="138">
        <v>669</v>
      </c>
      <c r="AC2" s="138">
        <v>32</v>
      </c>
      <c r="AD2" s="138">
        <v>43120</v>
      </c>
      <c r="AE2" s="138">
        <v>0</v>
      </c>
      <c r="AF2" s="138"/>
      <c r="AG2" s="138" t="s">
        <v>634</v>
      </c>
      <c r="AH2" s="138">
        <v>659723</v>
      </c>
      <c r="AI2" s="138">
        <v>100</v>
      </c>
      <c r="AJ2" s="138">
        <v>1</v>
      </c>
      <c r="AK2" s="138">
        <v>2266</v>
      </c>
      <c r="AL2" s="138">
        <v>0</v>
      </c>
      <c r="AN2" s="138" t="s">
        <v>634</v>
      </c>
      <c r="AO2" s="138">
        <v>3648683.85</v>
      </c>
      <c r="AP2" s="138">
        <v>408</v>
      </c>
      <c r="AQ2" s="138">
        <v>88</v>
      </c>
      <c r="AR2" s="138">
        <v>33718</v>
      </c>
      <c r="AS2" s="138">
        <v>0</v>
      </c>
      <c r="AU2" s="138" t="s">
        <v>634</v>
      </c>
      <c r="AV2" s="138">
        <v>0</v>
      </c>
      <c r="AW2" s="138">
        <v>0</v>
      </c>
      <c r="AX2" s="138">
        <v>0</v>
      </c>
      <c r="AY2" s="138">
        <v>1772</v>
      </c>
      <c r="AZ2" s="138">
        <v>0</v>
      </c>
      <c r="BB2" s="138" t="s">
        <v>634</v>
      </c>
      <c r="BC2" s="138">
        <v>73775466.260000005</v>
      </c>
      <c r="BD2" s="138">
        <v>2417</v>
      </c>
      <c r="BE2" s="138">
        <v>193</v>
      </c>
      <c r="BF2" s="138">
        <v>46029</v>
      </c>
      <c r="BG2" s="138">
        <v>0</v>
      </c>
      <c r="BH2" t="s">
        <v>634</v>
      </c>
      <c r="BI2" s="138">
        <v>104935</v>
      </c>
      <c r="BJ2" s="138">
        <v>5</v>
      </c>
      <c r="BK2" s="138">
        <v>4</v>
      </c>
      <c r="BL2" s="138">
        <v>2479</v>
      </c>
      <c r="BM2" s="138">
        <v>0</v>
      </c>
      <c r="BN2" s="138"/>
      <c r="BP2" s="152"/>
      <c r="BQ2" s="152"/>
      <c r="BR2" s="152"/>
      <c r="BT2" s="154" t="s">
        <v>125</v>
      </c>
      <c r="BU2" s="154">
        <v>30</v>
      </c>
      <c r="BV2" s="154">
        <v>0</v>
      </c>
      <c r="BW2" s="154">
        <v>1</v>
      </c>
      <c r="BX2" s="154">
        <v>0</v>
      </c>
      <c r="BY2" s="154">
        <v>0</v>
      </c>
      <c r="BZ2" s="154">
        <v>29</v>
      </c>
      <c r="CA2" s="154">
        <v>22</v>
      </c>
      <c r="CB2" s="154">
        <v>8</v>
      </c>
      <c r="CD2" s="158">
        <v>1373</v>
      </c>
      <c r="CE2" s="158">
        <v>21275756313081.664</v>
      </c>
      <c r="CG2" s="154">
        <v>2023</v>
      </c>
      <c r="CH2" s="154">
        <v>22</v>
      </c>
      <c r="CJ2" t="s">
        <v>690</v>
      </c>
      <c r="CK2">
        <v>1250847796527</v>
      </c>
      <c r="CM2" t="s">
        <v>690</v>
      </c>
      <c r="CN2">
        <v>3063026895722</v>
      </c>
      <c r="CP2" t="s">
        <v>690</v>
      </c>
      <c r="CQ2">
        <v>134636861576</v>
      </c>
      <c r="CS2" s="165">
        <v>2023</v>
      </c>
      <c r="CT2" s="163">
        <v>26</v>
      </c>
      <c r="CU2" s="163" t="s">
        <v>704</v>
      </c>
      <c r="CV2" s="163">
        <v>0</v>
      </c>
      <c r="CW2" s="163">
        <v>-22036665240</v>
      </c>
      <c r="CX2" s="163">
        <v>2087</v>
      </c>
      <c r="CY2" s="163">
        <v>0</v>
      </c>
      <c r="CZ2" s="163">
        <v>115635249963</v>
      </c>
      <c r="DA2" s="163">
        <v>1038</v>
      </c>
      <c r="DB2" s="163">
        <v>0</v>
      </c>
      <c r="DC2" s="163">
        <v>137671915203</v>
      </c>
      <c r="DD2" s="163">
        <v>1049</v>
      </c>
      <c r="DG2" s="214" t="s">
        <v>715</v>
      </c>
      <c r="DH2" s="212">
        <v>56721809.810000002</v>
      </c>
      <c r="DJ2" s="214" t="s">
        <v>715</v>
      </c>
      <c r="DK2" s="212">
        <v>1045291265.52</v>
      </c>
      <c r="DM2" s="214" t="s">
        <v>720</v>
      </c>
      <c r="DN2" s="212">
        <v>522846204</v>
      </c>
    </row>
    <row r="3" spans="1:118" x14ac:dyDescent="0.25">
      <c r="J3" s="100" t="str">
        <f t="shared" ref="J3:J5" si="0">K3&amp;L3</f>
        <v>PBuy</v>
      </c>
      <c r="K3" s="138" t="s">
        <v>529</v>
      </c>
      <c r="L3" s="138" t="s">
        <v>528</v>
      </c>
      <c r="M3" s="142">
        <v>264659061451.06577</v>
      </c>
      <c r="S3" s="138"/>
      <c r="T3" s="148"/>
      <c r="U3" s="148"/>
      <c r="V3" s="148"/>
      <c r="W3" s="148"/>
      <c r="X3" s="148"/>
      <c r="Z3" s="138" t="s">
        <v>635</v>
      </c>
      <c r="AA3" s="138">
        <v>0</v>
      </c>
      <c r="AB3" s="138">
        <v>0</v>
      </c>
      <c r="AC3" s="138">
        <v>0</v>
      </c>
      <c r="AD3" s="138">
        <v>0</v>
      </c>
      <c r="AE3" s="138">
        <v>0</v>
      </c>
      <c r="AF3" s="138"/>
      <c r="AG3" s="138" t="s">
        <v>635</v>
      </c>
      <c r="AH3" s="138">
        <v>0</v>
      </c>
      <c r="AI3" s="138">
        <v>0</v>
      </c>
      <c r="AJ3" s="138">
        <v>0</v>
      </c>
      <c r="AK3" s="138">
        <v>0</v>
      </c>
      <c r="AL3" s="138">
        <v>0</v>
      </c>
      <c r="AN3" s="138" t="s">
        <v>635</v>
      </c>
      <c r="AO3" s="138">
        <v>0</v>
      </c>
      <c r="AP3" s="138">
        <v>0</v>
      </c>
      <c r="AQ3" s="138">
        <v>0</v>
      </c>
      <c r="AR3" s="138">
        <v>0</v>
      </c>
      <c r="AS3" s="138">
        <v>0</v>
      </c>
      <c r="AU3" s="138" t="s">
        <v>635</v>
      </c>
      <c r="AV3" s="138">
        <v>0</v>
      </c>
      <c r="AW3" s="138">
        <v>0</v>
      </c>
      <c r="AX3" s="138">
        <v>0</v>
      </c>
      <c r="AY3" s="138">
        <v>0</v>
      </c>
      <c r="AZ3" s="138">
        <v>0</v>
      </c>
      <c r="BB3" s="138" t="s">
        <v>635</v>
      </c>
      <c r="BC3" s="138">
        <v>0</v>
      </c>
      <c r="BD3" s="138">
        <v>0</v>
      </c>
      <c r="BE3" s="138">
        <v>0</v>
      </c>
      <c r="BF3" s="138">
        <v>0</v>
      </c>
      <c r="BG3" s="138">
        <v>0</v>
      </c>
      <c r="BH3" t="s">
        <v>635</v>
      </c>
      <c r="BI3" s="138">
        <v>0</v>
      </c>
      <c r="BJ3" s="138">
        <v>0</v>
      </c>
      <c r="BK3" s="138">
        <v>0</v>
      </c>
      <c r="BL3" s="138">
        <v>0</v>
      </c>
      <c r="BM3" s="138">
        <v>0</v>
      </c>
      <c r="BN3" s="138"/>
      <c r="BT3" s="154" t="s">
        <v>684</v>
      </c>
      <c r="BU3" s="154">
        <v>266</v>
      </c>
      <c r="BV3" s="154">
        <v>0</v>
      </c>
      <c r="BW3" s="154">
        <v>3</v>
      </c>
      <c r="BX3" s="154">
        <v>0</v>
      </c>
      <c r="BY3" s="154">
        <v>0</v>
      </c>
      <c r="BZ3" s="154">
        <v>263</v>
      </c>
      <c r="CA3" s="154">
        <v>211</v>
      </c>
      <c r="CB3" s="154">
        <v>55</v>
      </c>
      <c r="CG3" s="154">
        <v>2022</v>
      </c>
      <c r="CH3" s="154">
        <v>21</v>
      </c>
      <c r="CJ3" t="s">
        <v>691</v>
      </c>
      <c r="CK3">
        <v>1115575258761.062</v>
      </c>
      <c r="CM3" t="s">
        <v>691</v>
      </c>
      <c r="CN3">
        <v>2739148621334.3999</v>
      </c>
      <c r="CP3" t="s">
        <v>691</v>
      </c>
      <c r="CQ3">
        <v>25713943121.060005</v>
      </c>
      <c r="CS3" s="165">
        <v>2023</v>
      </c>
      <c r="CT3" s="163">
        <v>1</v>
      </c>
      <c r="CU3" s="163" t="s">
        <v>705</v>
      </c>
      <c r="CV3" s="163">
        <v>-9360911.4700000007</v>
      </c>
      <c r="CW3" s="163">
        <v>-8760000</v>
      </c>
      <c r="CX3" s="163">
        <v>1</v>
      </c>
      <c r="CY3" s="163">
        <v>0</v>
      </c>
      <c r="CZ3" s="163">
        <v>0</v>
      </c>
      <c r="DA3" s="163">
        <v>0</v>
      </c>
      <c r="DB3" s="163">
        <v>9360911.4700000007</v>
      </c>
      <c r="DC3" s="163">
        <v>8760000</v>
      </c>
      <c r="DD3" s="163">
        <v>1</v>
      </c>
      <c r="DG3" s="214" t="s">
        <v>716</v>
      </c>
      <c r="DH3" s="212">
        <v>14748638.800000001</v>
      </c>
      <c r="DJ3" s="214" t="s">
        <v>716</v>
      </c>
      <c r="DK3" s="212">
        <v>390906133.27999997</v>
      </c>
      <c r="DM3" s="214" t="s">
        <v>715</v>
      </c>
      <c r="DN3" s="212">
        <v>2063672161.0899999</v>
      </c>
    </row>
    <row r="4" spans="1:118" x14ac:dyDescent="0.25">
      <c r="A4" s="96" t="s">
        <v>184</v>
      </c>
      <c r="B4" t="s">
        <v>522</v>
      </c>
      <c r="C4" t="s">
        <v>523</v>
      </c>
      <c r="D4" t="s">
        <v>524</v>
      </c>
      <c r="F4" t="s">
        <v>524</v>
      </c>
      <c r="G4" t="s">
        <v>522</v>
      </c>
      <c r="H4" t="s">
        <v>523</v>
      </c>
      <c r="J4" s="100" t="str">
        <f t="shared" si="0"/>
        <v>ASell</v>
      </c>
      <c r="K4" s="138" t="s">
        <v>527</v>
      </c>
      <c r="L4" s="138" t="s">
        <v>530</v>
      </c>
      <c r="M4" s="142">
        <v>227299553787.45624</v>
      </c>
      <c r="N4" s="101" t="s">
        <v>197</v>
      </c>
      <c r="O4" s="139" t="s">
        <v>491</v>
      </c>
      <c r="P4" s="139" t="s">
        <v>492</v>
      </c>
      <c r="Q4" s="139" t="s">
        <v>493</v>
      </c>
      <c r="S4" s="138"/>
      <c r="T4" s="148"/>
      <c r="U4" s="148"/>
      <c r="V4" s="148"/>
      <c r="W4" s="148"/>
      <c r="X4" s="148"/>
      <c r="Z4" s="138" t="s">
        <v>636</v>
      </c>
      <c r="AA4" s="138">
        <v>0</v>
      </c>
      <c r="AB4" s="138">
        <v>0</v>
      </c>
      <c r="AC4" s="138">
        <v>0</v>
      </c>
      <c r="AD4" s="138">
        <v>0</v>
      </c>
      <c r="AE4" s="138">
        <v>0</v>
      </c>
      <c r="AF4" s="138"/>
      <c r="AG4" s="138" t="s">
        <v>636</v>
      </c>
      <c r="AH4" s="138">
        <v>0</v>
      </c>
      <c r="AI4" s="138">
        <v>0</v>
      </c>
      <c r="AJ4" s="138">
        <v>0</v>
      </c>
      <c r="AK4" s="138">
        <v>0</v>
      </c>
      <c r="AL4" s="138">
        <v>0</v>
      </c>
      <c r="AN4" s="138" t="s">
        <v>636</v>
      </c>
      <c r="AO4" s="138">
        <v>0</v>
      </c>
      <c r="AP4" s="138">
        <v>0</v>
      </c>
      <c r="AQ4" s="138">
        <v>0</v>
      </c>
      <c r="AR4" s="138">
        <v>0</v>
      </c>
      <c r="AS4" s="138">
        <v>0</v>
      </c>
      <c r="AU4" s="138" t="s">
        <v>636</v>
      </c>
      <c r="AV4" s="138">
        <v>0</v>
      </c>
      <c r="AW4" s="138">
        <v>0</v>
      </c>
      <c r="AX4" s="138">
        <v>0</v>
      </c>
      <c r="AY4" s="138">
        <v>0</v>
      </c>
      <c r="AZ4" s="138">
        <v>0</v>
      </c>
      <c r="BB4" s="138" t="s">
        <v>636</v>
      </c>
      <c r="BC4" s="138">
        <v>0</v>
      </c>
      <c r="BD4" s="138">
        <v>0</v>
      </c>
      <c r="BE4" s="138">
        <v>0</v>
      </c>
      <c r="BF4" s="138">
        <v>0</v>
      </c>
      <c r="BG4" s="138">
        <v>0</v>
      </c>
      <c r="BH4" t="s">
        <v>636</v>
      </c>
      <c r="BI4" s="138">
        <v>0</v>
      </c>
      <c r="BJ4" s="138">
        <v>0</v>
      </c>
      <c r="BK4" s="138">
        <v>0</v>
      </c>
      <c r="BL4" s="138">
        <v>0</v>
      </c>
      <c r="BM4" s="138">
        <v>0</v>
      </c>
      <c r="BN4" s="138"/>
      <c r="BO4" s="143" t="s">
        <v>436</v>
      </c>
      <c r="BP4" s="153" t="s">
        <v>629</v>
      </c>
      <c r="BQ4" s="153" t="s">
        <v>630</v>
      </c>
      <c r="BR4" s="153" t="s">
        <v>631</v>
      </c>
      <c r="BT4" s="154" t="s">
        <v>685</v>
      </c>
      <c r="BU4" s="154">
        <v>1</v>
      </c>
      <c r="BV4" s="154">
        <v>0</v>
      </c>
      <c r="BW4" s="154">
        <v>0</v>
      </c>
      <c r="BX4" s="154">
        <v>0</v>
      </c>
      <c r="BY4" s="154">
        <v>0</v>
      </c>
      <c r="BZ4" s="154">
        <v>1</v>
      </c>
      <c r="CA4" s="154">
        <v>1</v>
      </c>
      <c r="CB4" s="154">
        <v>0</v>
      </c>
      <c r="CC4" s="156" t="s">
        <v>470</v>
      </c>
      <c r="CD4" s="159" t="s">
        <v>686</v>
      </c>
      <c r="CE4" s="159" t="s">
        <v>687</v>
      </c>
      <c r="CS4" s="165">
        <v>2023</v>
      </c>
      <c r="CT4" s="163">
        <v>22</v>
      </c>
      <c r="CU4" s="163" t="s">
        <v>706</v>
      </c>
      <c r="CV4" s="163">
        <v>-258887388587.35999</v>
      </c>
      <c r="CW4" s="163">
        <v>-259593664194</v>
      </c>
      <c r="CX4" s="163">
        <v>6376</v>
      </c>
      <c r="CY4" s="163">
        <v>665223789365.84985</v>
      </c>
      <c r="CZ4" s="163">
        <v>757560017805</v>
      </c>
      <c r="DA4" s="163">
        <v>3182</v>
      </c>
      <c r="DB4" s="163">
        <v>924111177953.21008</v>
      </c>
      <c r="DC4" s="163">
        <v>1017153681999</v>
      </c>
      <c r="DD4" s="163">
        <v>3194</v>
      </c>
      <c r="DG4" s="214" t="s">
        <v>717</v>
      </c>
      <c r="DH4" s="212">
        <v>57614719.890000001</v>
      </c>
      <c r="DJ4" s="214" t="s">
        <v>717</v>
      </c>
      <c r="DK4" s="212">
        <v>112593811.18000001</v>
      </c>
      <c r="DM4" s="214" t="s">
        <v>716</v>
      </c>
      <c r="DN4" s="212">
        <v>1077895583.5799999</v>
      </c>
    </row>
    <row r="5" spans="1:118" x14ac:dyDescent="0.25">
      <c r="B5">
        <v>32872261012</v>
      </c>
      <c r="C5">
        <v>2358010368259.0811</v>
      </c>
      <c r="D5" s="122">
        <v>32020180</v>
      </c>
      <c r="F5">
        <v>8312</v>
      </c>
      <c r="G5">
        <v>3782392867</v>
      </c>
      <c r="H5" s="122">
        <v>212395038637.311</v>
      </c>
      <c r="J5" s="100" t="str">
        <f t="shared" si="0"/>
        <v>PSell</v>
      </c>
      <c r="K5" s="138" t="s">
        <v>529</v>
      </c>
      <c r="L5" s="138" t="s">
        <v>530</v>
      </c>
      <c r="M5" s="142">
        <v>284843260921.82544</v>
      </c>
      <c r="O5" s="138">
        <v>337019870838.27002</v>
      </c>
      <c r="P5" s="138">
        <v>-373528059228.88</v>
      </c>
      <c r="Q5" s="138">
        <v>-36508188390.610001</v>
      </c>
      <c r="S5" s="138"/>
      <c r="T5" s="148"/>
      <c r="U5" s="148"/>
      <c r="V5" s="148"/>
      <c r="W5" s="148"/>
      <c r="X5" s="148"/>
      <c r="Z5" s="138" t="s">
        <v>637</v>
      </c>
      <c r="AA5" s="138">
        <v>0</v>
      </c>
      <c r="AB5" s="138">
        <v>0</v>
      </c>
      <c r="AC5" s="138">
        <v>0</v>
      </c>
      <c r="AD5" s="138">
        <v>0</v>
      </c>
      <c r="AE5" s="138">
        <v>0</v>
      </c>
      <c r="AF5" s="138"/>
      <c r="AG5" s="138" t="s">
        <v>637</v>
      </c>
      <c r="AH5" s="138">
        <v>0</v>
      </c>
      <c r="AI5" s="138">
        <v>0</v>
      </c>
      <c r="AJ5" s="138">
        <v>0</v>
      </c>
      <c r="AK5" s="138">
        <v>0</v>
      </c>
      <c r="AL5" s="138">
        <v>0</v>
      </c>
      <c r="AN5" s="138" t="s">
        <v>637</v>
      </c>
      <c r="AO5" s="138">
        <v>0</v>
      </c>
      <c r="AP5" s="138">
        <v>0</v>
      </c>
      <c r="AQ5" s="138">
        <v>0</v>
      </c>
      <c r="AR5" s="138">
        <v>0</v>
      </c>
      <c r="AS5" s="138">
        <v>0</v>
      </c>
      <c r="AU5" s="138" t="s">
        <v>637</v>
      </c>
      <c r="AV5" s="138">
        <v>0</v>
      </c>
      <c r="AW5" s="138">
        <v>0</v>
      </c>
      <c r="AX5" s="138">
        <v>0</v>
      </c>
      <c r="AY5" s="138">
        <v>0</v>
      </c>
      <c r="AZ5" s="138">
        <v>0</v>
      </c>
      <c r="BB5" s="138" t="s">
        <v>637</v>
      </c>
      <c r="BC5" s="138">
        <v>0</v>
      </c>
      <c r="BD5" s="138">
        <v>0</v>
      </c>
      <c r="BE5" s="138">
        <v>0</v>
      </c>
      <c r="BF5" s="138">
        <v>0</v>
      </c>
      <c r="BG5" s="138">
        <v>0</v>
      </c>
      <c r="BH5" t="s">
        <v>637</v>
      </c>
      <c r="BI5" s="138">
        <v>0</v>
      </c>
      <c r="BJ5" s="138">
        <v>0</v>
      </c>
      <c r="BK5" s="138">
        <v>0</v>
      </c>
      <c r="BL5" s="138">
        <v>0</v>
      </c>
      <c r="BM5" s="138">
        <v>0</v>
      </c>
      <c r="BN5" s="138"/>
      <c r="BP5" s="152"/>
      <c r="BQ5" s="152"/>
      <c r="BR5" s="152"/>
      <c r="BT5" s="154"/>
      <c r="BU5" s="154"/>
      <c r="BV5" s="154"/>
      <c r="BW5" s="154"/>
      <c r="BX5" s="154"/>
      <c r="BY5" s="154"/>
      <c r="BZ5" s="154"/>
      <c r="CA5" s="154"/>
      <c r="CB5" s="154"/>
      <c r="CD5" s="160">
        <v>1189</v>
      </c>
      <c r="CE5" s="160">
        <v>20841670833097.301</v>
      </c>
      <c r="CF5" s="156" t="s">
        <v>475</v>
      </c>
      <c r="CG5" s="155" t="s">
        <v>6</v>
      </c>
      <c r="CH5" s="155" t="s">
        <v>688</v>
      </c>
      <c r="CS5" s="165">
        <v>2023</v>
      </c>
      <c r="CT5" s="163">
        <v>22</v>
      </c>
      <c r="CU5" s="163" t="s">
        <v>707</v>
      </c>
      <c r="CV5" s="163">
        <v>239453130788.01007</v>
      </c>
      <c r="CW5" s="163">
        <v>234003996650</v>
      </c>
      <c r="CX5" s="163">
        <v>6139</v>
      </c>
      <c r="CY5" s="163">
        <v>886087648898.08032</v>
      </c>
      <c r="CZ5" s="163">
        <v>971304121999</v>
      </c>
      <c r="DA5" s="163">
        <v>3048</v>
      </c>
      <c r="DB5" s="163">
        <v>646634518110.07007</v>
      </c>
      <c r="DC5" s="163">
        <v>737300125349</v>
      </c>
      <c r="DD5" s="163">
        <v>3091</v>
      </c>
      <c r="DG5" s="214" t="s">
        <v>718</v>
      </c>
      <c r="DH5" s="212">
        <v>116155337.25</v>
      </c>
      <c r="DJ5" s="214" t="s">
        <v>718</v>
      </c>
      <c r="DK5" s="212">
        <v>762479531.20000005</v>
      </c>
      <c r="DM5" s="214" t="s">
        <v>717</v>
      </c>
      <c r="DN5" s="212">
        <v>223858726.84</v>
      </c>
    </row>
    <row r="6" spans="1:118" x14ac:dyDescent="0.25">
      <c r="J6" s="100"/>
      <c r="K6" s="43"/>
      <c r="M6"/>
      <c r="S6" s="138"/>
      <c r="T6" s="148"/>
      <c r="U6" s="148"/>
      <c r="V6" s="148"/>
      <c r="W6" s="148"/>
      <c r="X6" s="148"/>
      <c r="Z6" s="138" t="s">
        <v>638</v>
      </c>
      <c r="AA6" s="138">
        <v>0</v>
      </c>
      <c r="AB6" s="138">
        <v>0</v>
      </c>
      <c r="AC6" s="138">
        <v>0</v>
      </c>
      <c r="AD6" s="138">
        <v>0</v>
      </c>
      <c r="AE6" s="138">
        <v>0</v>
      </c>
      <c r="AF6" s="138"/>
      <c r="AG6" s="138" t="s">
        <v>638</v>
      </c>
      <c r="AH6" s="138">
        <v>0</v>
      </c>
      <c r="AI6" s="138">
        <v>0</v>
      </c>
      <c r="AJ6" s="138">
        <v>0</v>
      </c>
      <c r="AK6" s="138">
        <v>0</v>
      </c>
      <c r="AL6" s="138">
        <v>0</v>
      </c>
      <c r="AN6" s="138" t="s">
        <v>638</v>
      </c>
      <c r="AO6" s="138">
        <v>0</v>
      </c>
      <c r="AP6" s="138">
        <v>0</v>
      </c>
      <c r="AQ6" s="138">
        <v>0</v>
      </c>
      <c r="AR6" s="138">
        <v>0</v>
      </c>
      <c r="AS6" s="138">
        <v>0</v>
      </c>
      <c r="AU6" s="138" t="s">
        <v>638</v>
      </c>
      <c r="AV6" s="138">
        <v>0</v>
      </c>
      <c r="AW6" s="138">
        <v>0</v>
      </c>
      <c r="AX6" s="138">
        <v>0</v>
      </c>
      <c r="AY6" s="138">
        <v>0</v>
      </c>
      <c r="AZ6" s="138">
        <v>0</v>
      </c>
      <c r="BB6" s="138" t="s">
        <v>638</v>
      </c>
      <c r="BC6" s="138">
        <v>0</v>
      </c>
      <c r="BD6" s="138">
        <v>0</v>
      </c>
      <c r="BE6" s="138">
        <v>0</v>
      </c>
      <c r="BF6" s="138">
        <v>0</v>
      </c>
      <c r="BG6" s="138">
        <v>0</v>
      </c>
      <c r="BH6" t="s">
        <v>638</v>
      </c>
      <c r="BI6" s="138">
        <v>0</v>
      </c>
      <c r="BJ6" s="138">
        <v>0</v>
      </c>
      <c r="BK6" s="138">
        <v>0</v>
      </c>
      <c r="BL6" s="138">
        <v>0</v>
      </c>
      <c r="BM6" s="138">
        <v>0</v>
      </c>
      <c r="BN6" s="138"/>
      <c r="BP6" s="152"/>
      <c r="BQ6" s="152"/>
      <c r="BR6" s="152"/>
      <c r="BT6" s="154"/>
      <c r="BU6" s="154"/>
      <c r="BV6" s="154"/>
      <c r="BW6" s="154"/>
      <c r="BX6" s="154"/>
      <c r="BY6" s="154"/>
      <c r="BZ6" s="154"/>
      <c r="CA6" s="154"/>
      <c r="CB6" s="154"/>
      <c r="CG6" s="154">
        <v>2023</v>
      </c>
      <c r="CH6" s="154">
        <v>102</v>
      </c>
      <c r="CI6" s="156" t="s">
        <v>477</v>
      </c>
      <c r="CJ6" t="s">
        <v>107</v>
      </c>
      <c r="CK6">
        <v>145597</v>
      </c>
      <c r="CL6" s="156" t="s">
        <v>480</v>
      </c>
      <c r="CM6" t="s">
        <v>107</v>
      </c>
      <c r="CN6">
        <v>59431</v>
      </c>
      <c r="CO6" s="156" t="s">
        <v>483</v>
      </c>
      <c r="CP6" t="s">
        <v>107</v>
      </c>
      <c r="CQ6">
        <v>4231</v>
      </c>
      <c r="CS6" s="165">
        <v>2023</v>
      </c>
      <c r="CT6" s="163">
        <v>180</v>
      </c>
      <c r="CU6" s="163" t="s">
        <v>708</v>
      </c>
      <c r="CV6" s="163">
        <v>-139497748483.70996</v>
      </c>
      <c r="CW6" s="163">
        <v>-143203427533</v>
      </c>
      <c r="CX6" s="163">
        <v>3767</v>
      </c>
      <c r="CY6" s="163">
        <v>98201623699.739975</v>
      </c>
      <c r="CZ6" s="163">
        <v>124419826858</v>
      </c>
      <c r="DA6" s="163">
        <v>1770</v>
      </c>
      <c r="DB6" s="163">
        <v>237699372183.44998</v>
      </c>
      <c r="DC6" s="163">
        <v>267623254391</v>
      </c>
      <c r="DD6" s="163">
        <v>1997</v>
      </c>
      <c r="DG6" s="214" t="s">
        <v>719</v>
      </c>
      <c r="DH6" s="212">
        <v>200722173.80000001</v>
      </c>
      <c r="DJ6" s="214" t="s">
        <v>719</v>
      </c>
      <c r="DK6" s="212">
        <v>1000722171.2</v>
      </c>
      <c r="DM6" s="214" t="s">
        <v>718</v>
      </c>
      <c r="DN6" s="212">
        <v>1752171111.3099999</v>
      </c>
    </row>
    <row r="7" spans="1:118" x14ac:dyDescent="0.25">
      <c r="A7" s="96" t="s">
        <v>185</v>
      </c>
      <c r="B7" t="s">
        <v>522</v>
      </c>
      <c r="C7" t="s">
        <v>523</v>
      </c>
      <c r="D7" t="s">
        <v>524</v>
      </c>
      <c r="F7" t="s">
        <v>524</v>
      </c>
      <c r="G7" t="s">
        <v>522</v>
      </c>
      <c r="H7" t="s">
        <v>523</v>
      </c>
      <c r="I7" s="101" t="s">
        <v>192</v>
      </c>
      <c r="J7" s="96" t="s">
        <v>193</v>
      </c>
      <c r="K7" s="139" t="s">
        <v>525</v>
      </c>
      <c r="L7" s="139" t="s">
        <v>526</v>
      </c>
      <c r="M7" s="141" t="s">
        <v>523</v>
      </c>
      <c r="N7" s="101" t="s">
        <v>198</v>
      </c>
      <c r="O7" s="139" t="s">
        <v>491</v>
      </c>
      <c r="P7" s="139" t="s">
        <v>492</v>
      </c>
      <c r="Q7" s="139" t="s">
        <v>493</v>
      </c>
      <c r="S7" s="138"/>
      <c r="T7" s="148"/>
      <c r="U7" s="148"/>
      <c r="V7" s="148"/>
      <c r="W7" s="148"/>
      <c r="X7" s="148"/>
      <c r="Z7" s="138" t="s">
        <v>639</v>
      </c>
      <c r="AA7" s="138">
        <v>0</v>
      </c>
      <c r="AB7" s="138">
        <v>0</v>
      </c>
      <c r="AC7" s="138">
        <v>0</v>
      </c>
      <c r="AD7" s="138">
        <v>0</v>
      </c>
      <c r="AE7" s="138">
        <v>0</v>
      </c>
      <c r="AF7" s="138"/>
      <c r="AG7" s="138" t="s">
        <v>639</v>
      </c>
      <c r="AH7" s="138">
        <v>0</v>
      </c>
      <c r="AI7" s="138">
        <v>0</v>
      </c>
      <c r="AJ7" s="138">
        <v>0</v>
      </c>
      <c r="AK7" s="138">
        <v>0</v>
      </c>
      <c r="AL7" s="138">
        <v>0</v>
      </c>
      <c r="AN7" s="138" t="s">
        <v>639</v>
      </c>
      <c r="AO7" s="138">
        <v>0</v>
      </c>
      <c r="AP7" s="138">
        <v>0</v>
      </c>
      <c r="AQ7" s="138">
        <v>0</v>
      </c>
      <c r="AR7" s="138">
        <v>0</v>
      </c>
      <c r="AS7" s="138">
        <v>0</v>
      </c>
      <c r="AU7" s="138" t="s">
        <v>639</v>
      </c>
      <c r="AV7" s="138">
        <v>0</v>
      </c>
      <c r="AW7" s="138">
        <v>0</v>
      </c>
      <c r="AX7" s="138">
        <v>0</v>
      </c>
      <c r="AY7" s="138">
        <v>0</v>
      </c>
      <c r="AZ7" s="138">
        <v>0</v>
      </c>
      <c r="BB7" s="138" t="s">
        <v>639</v>
      </c>
      <c r="BC7" s="138">
        <v>0</v>
      </c>
      <c r="BD7" s="138">
        <v>0</v>
      </c>
      <c r="BE7" s="138">
        <v>0</v>
      </c>
      <c r="BF7" s="138">
        <v>0</v>
      </c>
      <c r="BG7" s="138">
        <v>0</v>
      </c>
      <c r="BH7" t="s">
        <v>639</v>
      </c>
      <c r="BI7" s="138">
        <v>0</v>
      </c>
      <c r="BJ7" s="138">
        <v>0</v>
      </c>
      <c r="BK7" s="138">
        <v>0</v>
      </c>
      <c r="BL7" s="138">
        <v>0</v>
      </c>
      <c r="BM7" s="138">
        <v>0</v>
      </c>
      <c r="BN7" s="138"/>
      <c r="BO7" s="143" t="s">
        <v>438</v>
      </c>
      <c r="BP7" s="153" t="s">
        <v>629</v>
      </c>
      <c r="BQ7" s="153" t="s">
        <v>630</v>
      </c>
      <c r="BR7" s="153" t="s">
        <v>631</v>
      </c>
      <c r="BT7" s="154"/>
      <c r="BU7" s="154"/>
      <c r="BV7" s="154"/>
      <c r="BW7" s="154"/>
      <c r="BX7" s="154"/>
      <c r="BY7" s="154"/>
      <c r="BZ7" s="154"/>
      <c r="CA7" s="154"/>
      <c r="CB7" s="154"/>
      <c r="CG7" s="154">
        <v>2022</v>
      </c>
      <c r="CH7" s="154">
        <v>102</v>
      </c>
      <c r="CJ7" t="s">
        <v>690</v>
      </c>
      <c r="CK7">
        <v>5280891548836</v>
      </c>
      <c r="CM7" t="s">
        <v>690</v>
      </c>
      <c r="CN7">
        <v>12756433014818</v>
      </c>
      <c r="CP7" t="s">
        <v>690</v>
      </c>
      <c r="CQ7">
        <v>485065834801</v>
      </c>
      <c r="CS7" s="165">
        <v>2023</v>
      </c>
      <c r="CT7" s="163">
        <v>50</v>
      </c>
      <c r="CU7" s="163" t="s">
        <v>709</v>
      </c>
      <c r="CV7" s="163">
        <v>14950233727.209988</v>
      </c>
      <c r="CW7" s="163">
        <v>19883871255</v>
      </c>
      <c r="CX7" s="163">
        <v>12866</v>
      </c>
      <c r="CY7" s="163">
        <v>484179696952.11993</v>
      </c>
      <c r="CZ7" s="163">
        <v>545406834581</v>
      </c>
      <c r="DA7" s="163">
        <v>6393</v>
      </c>
      <c r="DB7" s="163">
        <v>469229463224.91003</v>
      </c>
      <c r="DC7" s="163">
        <v>525522963326</v>
      </c>
      <c r="DD7" s="163">
        <v>6473</v>
      </c>
      <c r="DM7" t="s">
        <v>719</v>
      </c>
      <c r="DN7" s="232">
        <v>54999999.950000003</v>
      </c>
    </row>
    <row r="8" spans="1:118" x14ac:dyDescent="0.25">
      <c r="B8">
        <v>35111025369</v>
      </c>
      <c r="C8">
        <v>2609010602977.5903</v>
      </c>
      <c r="D8" s="122">
        <v>35521430</v>
      </c>
      <c r="F8">
        <v>8290</v>
      </c>
      <c r="G8">
        <v>3724222613</v>
      </c>
      <c r="H8" s="122">
        <v>243563167219.82538</v>
      </c>
      <c r="J8" s="100" t="str">
        <f>K8&amp;L8</f>
        <v>ABuy</v>
      </c>
      <c r="K8" s="138" t="s">
        <v>527</v>
      </c>
      <c r="L8" s="138" t="s">
        <v>528</v>
      </c>
      <c r="M8" s="142">
        <v>171775289971.47852</v>
      </c>
      <c r="O8" s="144">
        <v>436457070433.62</v>
      </c>
      <c r="P8" s="144">
        <v>-435512972099.89001</v>
      </c>
      <c r="Q8" s="138">
        <v>944098333.73000002</v>
      </c>
      <c r="S8" s="138"/>
      <c r="T8" s="148"/>
      <c r="U8" s="148"/>
      <c r="V8" s="148"/>
      <c r="W8" s="148"/>
      <c r="X8" s="148"/>
      <c r="Z8" s="138" t="s">
        <v>640</v>
      </c>
      <c r="AA8" s="138">
        <v>0</v>
      </c>
      <c r="AB8" s="138">
        <v>0</v>
      </c>
      <c r="AC8" s="138">
        <v>0</v>
      </c>
      <c r="AD8" s="138">
        <v>0</v>
      </c>
      <c r="AE8" s="138">
        <v>0</v>
      </c>
      <c r="AF8" s="138"/>
      <c r="AG8" s="138" t="s">
        <v>640</v>
      </c>
      <c r="AH8" s="138">
        <v>0</v>
      </c>
      <c r="AI8" s="138">
        <v>0</v>
      </c>
      <c r="AJ8" s="138">
        <v>0</v>
      </c>
      <c r="AK8" s="138">
        <v>0</v>
      </c>
      <c r="AL8" s="138">
        <v>0</v>
      </c>
      <c r="AN8" s="138" t="s">
        <v>640</v>
      </c>
      <c r="AO8" s="138">
        <v>0</v>
      </c>
      <c r="AP8" s="138">
        <v>0</v>
      </c>
      <c r="AQ8" s="138">
        <v>0</v>
      </c>
      <c r="AR8" s="138">
        <v>0</v>
      </c>
      <c r="AS8" s="138">
        <v>0</v>
      </c>
      <c r="AU8" s="138" t="s">
        <v>640</v>
      </c>
      <c r="AV8" s="138">
        <v>0</v>
      </c>
      <c r="AW8" s="138">
        <v>0</v>
      </c>
      <c r="AX8" s="138">
        <v>0</v>
      </c>
      <c r="AY8" s="138">
        <v>0</v>
      </c>
      <c r="AZ8" s="138">
        <v>0</v>
      </c>
      <c r="BB8" s="138" t="s">
        <v>640</v>
      </c>
      <c r="BC8" s="138">
        <v>0</v>
      </c>
      <c r="BD8" s="138">
        <v>0</v>
      </c>
      <c r="BE8" s="138">
        <v>0</v>
      </c>
      <c r="BF8" s="138">
        <v>0</v>
      </c>
      <c r="BG8" s="138">
        <v>0</v>
      </c>
      <c r="BH8" t="s">
        <v>640</v>
      </c>
      <c r="BI8" s="138">
        <v>0</v>
      </c>
      <c r="BJ8" s="138">
        <v>0</v>
      </c>
      <c r="BK8" s="138">
        <v>0</v>
      </c>
      <c r="BL8" s="138">
        <v>0</v>
      </c>
      <c r="BM8" s="138">
        <v>0</v>
      </c>
      <c r="BN8" s="138"/>
      <c r="BP8" s="152"/>
      <c r="BQ8" s="152"/>
      <c r="BR8" s="152"/>
      <c r="CC8" s="156" t="s">
        <v>471</v>
      </c>
      <c r="CD8" s="155" t="s">
        <v>687</v>
      </c>
      <c r="CE8" s="155" t="s">
        <v>689</v>
      </c>
      <c r="CJ8" t="s">
        <v>691</v>
      </c>
      <c r="CK8">
        <v>4821386328864.793</v>
      </c>
      <c r="CM8" t="s">
        <v>691</v>
      </c>
      <c r="CN8">
        <v>11781599425547.182</v>
      </c>
      <c r="CP8" t="s">
        <v>691</v>
      </c>
      <c r="CQ8">
        <v>125934965410.62997</v>
      </c>
      <c r="CS8" s="165">
        <v>2023</v>
      </c>
      <c r="CT8" s="163">
        <v>20</v>
      </c>
      <c r="CU8" s="163" t="s">
        <v>710</v>
      </c>
      <c r="CV8" s="163">
        <v>-11126917231.149998</v>
      </c>
      <c r="CW8" s="163">
        <v>-11734211813</v>
      </c>
      <c r="CX8" s="163">
        <v>690</v>
      </c>
      <c r="CY8" s="163">
        <v>59734002987.109993</v>
      </c>
      <c r="CZ8" s="163">
        <v>69036234835</v>
      </c>
      <c r="DA8" s="163">
        <v>310</v>
      </c>
      <c r="DB8" s="163">
        <v>70860920218.259995</v>
      </c>
      <c r="DC8" s="163">
        <v>80770446648</v>
      </c>
      <c r="DD8" s="163">
        <v>380</v>
      </c>
    </row>
    <row r="9" spans="1:118" x14ac:dyDescent="0.25">
      <c r="J9" s="100" t="str">
        <f t="shared" ref="J9:J11" si="1">K9&amp;L9</f>
        <v>PBuy</v>
      </c>
      <c r="K9" s="138" t="s">
        <v>529</v>
      </c>
      <c r="L9" s="138" t="s">
        <v>528</v>
      </c>
      <c r="M9" s="142">
        <v>195793775622.39279</v>
      </c>
      <c r="N9" s="16"/>
      <c r="S9" s="138"/>
      <c r="T9" s="148"/>
      <c r="U9" s="148"/>
      <c r="V9" s="148"/>
      <c r="W9" s="148"/>
      <c r="X9" s="148"/>
      <c r="Z9" s="138" t="s">
        <v>641</v>
      </c>
      <c r="AA9" s="138">
        <v>10135115.02</v>
      </c>
      <c r="AB9" s="138">
        <v>1196</v>
      </c>
      <c r="AC9" s="138">
        <v>99</v>
      </c>
      <c r="AD9" s="138">
        <v>33148</v>
      </c>
      <c r="AE9" s="138">
        <v>0</v>
      </c>
      <c r="AF9" s="138"/>
      <c r="AG9" s="138" t="s">
        <v>641</v>
      </c>
      <c r="AH9" s="138">
        <v>92500</v>
      </c>
      <c r="AI9" s="138">
        <v>8</v>
      </c>
      <c r="AJ9" s="138">
        <v>3</v>
      </c>
      <c r="AK9" s="138">
        <v>1787</v>
      </c>
      <c r="AL9" s="138">
        <v>0</v>
      </c>
      <c r="AN9" s="138" t="s">
        <v>641</v>
      </c>
      <c r="AO9" s="138">
        <v>4938700</v>
      </c>
      <c r="AP9" s="138">
        <v>571</v>
      </c>
      <c r="AQ9" s="138">
        <v>41</v>
      </c>
      <c r="AR9" s="138">
        <v>4946</v>
      </c>
      <c r="AS9" s="138">
        <v>0</v>
      </c>
      <c r="AU9" s="138" t="s">
        <v>641</v>
      </c>
      <c r="AV9" s="138">
        <v>443400</v>
      </c>
      <c r="AW9" s="138">
        <v>52</v>
      </c>
      <c r="AX9" s="138">
        <v>12</v>
      </c>
      <c r="AY9" s="138">
        <v>748</v>
      </c>
      <c r="AZ9" s="138">
        <v>0</v>
      </c>
      <c r="BB9" s="138" t="s">
        <v>641</v>
      </c>
      <c r="BC9" s="138">
        <v>272300</v>
      </c>
      <c r="BD9" s="138">
        <v>10</v>
      </c>
      <c r="BE9" s="138">
        <v>4</v>
      </c>
      <c r="BF9" s="138">
        <v>2000</v>
      </c>
      <c r="BG9" s="138">
        <v>0</v>
      </c>
      <c r="BH9" t="s">
        <v>641</v>
      </c>
      <c r="BI9" s="138">
        <v>0</v>
      </c>
      <c r="BJ9" s="138">
        <v>0</v>
      </c>
      <c r="BK9" s="138">
        <v>0</v>
      </c>
      <c r="BL9" s="138">
        <v>100</v>
      </c>
      <c r="BM9" s="138">
        <v>0</v>
      </c>
      <c r="BN9" s="138"/>
      <c r="BS9" s="102" t="s">
        <v>466</v>
      </c>
      <c r="BT9" s="155" t="s">
        <v>675</v>
      </c>
      <c r="BU9" s="155" t="s">
        <v>676</v>
      </c>
      <c r="BV9" s="155" t="s">
        <v>677</v>
      </c>
      <c r="BW9" s="155" t="s">
        <v>678</v>
      </c>
      <c r="BX9" s="155" t="s">
        <v>679</v>
      </c>
      <c r="BY9" s="155" t="s">
        <v>680</v>
      </c>
      <c r="BZ9" s="155" t="s">
        <v>681</v>
      </c>
      <c r="CA9" s="155" t="s">
        <v>682</v>
      </c>
      <c r="CB9" s="155" t="s">
        <v>683</v>
      </c>
      <c r="CD9" s="158">
        <v>455487850096117.31</v>
      </c>
      <c r="CE9" s="161">
        <v>504057929531.02502</v>
      </c>
    </row>
    <row r="10" spans="1:118" x14ac:dyDescent="0.25">
      <c r="A10" s="96" t="s">
        <v>186</v>
      </c>
      <c r="B10" s="100"/>
      <c r="C10" s="100"/>
      <c r="D10" s="100"/>
      <c r="E10" s="100"/>
      <c r="F10" s="100"/>
      <c r="G10" s="100"/>
      <c r="H10" s="100"/>
      <c r="J10" s="100" t="str">
        <f t="shared" si="1"/>
        <v>ASell</v>
      </c>
      <c r="K10" s="138" t="s">
        <v>527</v>
      </c>
      <c r="L10" s="138" t="s">
        <v>530</v>
      </c>
      <c r="M10" s="142">
        <v>165507653978.78308</v>
      </c>
      <c r="N10" s="96" t="s">
        <v>186</v>
      </c>
      <c r="O10" s="143" t="s">
        <v>491</v>
      </c>
      <c r="P10" s="143" t="s">
        <v>492</v>
      </c>
      <c r="Q10" s="143" t="s">
        <v>493</v>
      </c>
      <c r="S10" s="138"/>
      <c r="T10" s="148"/>
      <c r="U10" s="148"/>
      <c r="V10" s="148"/>
      <c r="W10" s="148"/>
      <c r="X10" s="148"/>
      <c r="Z10" s="138" t="s">
        <v>642</v>
      </c>
      <c r="AA10" s="138">
        <v>0</v>
      </c>
      <c r="AB10" s="138">
        <v>0</v>
      </c>
      <c r="AC10" s="138">
        <v>0</v>
      </c>
      <c r="AD10" s="138">
        <v>0</v>
      </c>
      <c r="AE10" s="138">
        <v>0</v>
      </c>
      <c r="AF10" s="138"/>
      <c r="AG10" s="138" t="s">
        <v>642</v>
      </c>
      <c r="AH10" s="138">
        <v>0</v>
      </c>
      <c r="AI10" s="138">
        <v>0</v>
      </c>
      <c r="AJ10" s="138">
        <v>0</v>
      </c>
      <c r="AK10" s="138">
        <v>0</v>
      </c>
      <c r="AL10" s="138">
        <v>0</v>
      </c>
      <c r="AN10" s="138" t="s">
        <v>642</v>
      </c>
      <c r="AO10" s="138">
        <v>0</v>
      </c>
      <c r="AP10" s="138">
        <v>0</v>
      </c>
      <c r="AQ10" s="138">
        <v>0</v>
      </c>
      <c r="AR10" s="138">
        <v>0</v>
      </c>
      <c r="AS10" s="138">
        <v>0</v>
      </c>
      <c r="AU10" s="138" t="s">
        <v>642</v>
      </c>
      <c r="AV10" s="138">
        <v>0</v>
      </c>
      <c r="AW10" s="138">
        <v>0</v>
      </c>
      <c r="AX10" s="138">
        <v>0</v>
      </c>
      <c r="AY10" s="138">
        <v>0</v>
      </c>
      <c r="AZ10" s="138">
        <v>0</v>
      </c>
      <c r="BB10" s="138" t="s">
        <v>642</v>
      </c>
      <c r="BC10" s="138">
        <v>0</v>
      </c>
      <c r="BD10" s="138">
        <v>0</v>
      </c>
      <c r="BE10" s="138">
        <v>0</v>
      </c>
      <c r="BF10" s="138">
        <v>0</v>
      </c>
      <c r="BG10" s="138">
        <v>0</v>
      </c>
      <c r="BH10" t="s">
        <v>642</v>
      </c>
      <c r="BI10" s="138">
        <v>0</v>
      </c>
      <c r="BJ10" s="138">
        <v>0</v>
      </c>
      <c r="BK10" s="138">
        <v>0</v>
      </c>
      <c r="BL10" s="138">
        <v>0</v>
      </c>
      <c r="BM10" s="138">
        <v>0</v>
      </c>
      <c r="BN10" s="138"/>
      <c r="BO10" s="143" t="s">
        <v>439</v>
      </c>
      <c r="BP10" s="153" t="s">
        <v>629</v>
      </c>
      <c r="BQ10" s="153" t="s">
        <v>630</v>
      </c>
      <c r="BR10" s="153" t="s">
        <v>631</v>
      </c>
      <c r="BT10" s="154" t="s">
        <v>125</v>
      </c>
      <c r="BU10" s="154">
        <v>30</v>
      </c>
      <c r="BV10" s="154">
        <v>1</v>
      </c>
      <c r="BW10" s="154">
        <v>3</v>
      </c>
      <c r="BX10" s="154">
        <v>0</v>
      </c>
      <c r="BY10" s="154">
        <v>0</v>
      </c>
      <c r="BZ10" s="154">
        <v>28</v>
      </c>
      <c r="CA10" s="154">
        <v>22</v>
      </c>
      <c r="CB10" s="154">
        <v>8</v>
      </c>
    </row>
    <row r="11" spans="1:118" x14ac:dyDescent="0.25">
      <c r="B11" s="100"/>
      <c r="C11" s="100"/>
      <c r="D11" s="100"/>
      <c r="E11" s="100"/>
      <c r="F11" s="100"/>
      <c r="G11" s="100"/>
      <c r="H11" s="100"/>
      <c r="J11" s="100" t="str">
        <f t="shared" si="1"/>
        <v>PSell</v>
      </c>
      <c r="K11" s="138" t="s">
        <v>529</v>
      </c>
      <c r="L11" s="138" t="s">
        <v>530</v>
      </c>
      <c r="M11" s="142">
        <v>202061411615.08829</v>
      </c>
      <c r="N11" s="1"/>
      <c r="O11" s="211">
        <v>969468452821</v>
      </c>
      <c r="P11" s="211">
        <v>-970485061219</v>
      </c>
      <c r="Q11" s="211">
        <v>-1016608398</v>
      </c>
      <c r="S11" s="138"/>
      <c r="T11" s="148"/>
      <c r="U11" s="148"/>
      <c r="V11" s="148"/>
      <c r="W11" s="148"/>
      <c r="X11" s="148"/>
      <c r="Z11" s="138" t="s">
        <v>643</v>
      </c>
      <c r="AA11" s="138">
        <v>0</v>
      </c>
      <c r="AB11" s="138">
        <v>0</v>
      </c>
      <c r="AC11" s="138">
        <v>0</v>
      </c>
      <c r="AD11" s="138">
        <v>0</v>
      </c>
      <c r="AE11" s="138">
        <v>0</v>
      </c>
      <c r="AF11" s="138"/>
      <c r="AG11" s="138" t="s">
        <v>643</v>
      </c>
      <c r="AH11" s="138">
        <v>0</v>
      </c>
      <c r="AI11" s="138">
        <v>0</v>
      </c>
      <c r="AJ11" s="138">
        <v>0</v>
      </c>
      <c r="AK11" s="138">
        <v>0</v>
      </c>
      <c r="AL11" s="138">
        <v>0</v>
      </c>
      <c r="AN11" s="138" t="s">
        <v>643</v>
      </c>
      <c r="AO11" s="138">
        <v>0</v>
      </c>
      <c r="AP11" s="138">
        <v>0</v>
      </c>
      <c r="AQ11" s="138">
        <v>0</v>
      </c>
      <c r="AR11" s="138">
        <v>0</v>
      </c>
      <c r="AS11" s="138">
        <v>0</v>
      </c>
      <c r="AU11" s="138" t="s">
        <v>643</v>
      </c>
      <c r="AV11" s="138">
        <v>0</v>
      </c>
      <c r="AW11" s="138">
        <v>0</v>
      </c>
      <c r="AX11" s="138">
        <v>0</v>
      </c>
      <c r="AY11" s="138">
        <v>0</v>
      </c>
      <c r="AZ11" s="138">
        <v>0</v>
      </c>
      <c r="BB11" s="138" t="s">
        <v>643</v>
      </c>
      <c r="BC11" s="138">
        <v>0</v>
      </c>
      <c r="BD11" s="138">
        <v>0</v>
      </c>
      <c r="BE11" s="138">
        <v>0</v>
      </c>
      <c r="BF11" s="138">
        <v>0</v>
      </c>
      <c r="BG11" s="138">
        <v>0</v>
      </c>
      <c r="BH11" t="s">
        <v>643</v>
      </c>
      <c r="BI11" s="138">
        <v>0</v>
      </c>
      <c r="BJ11" s="138">
        <v>0</v>
      </c>
      <c r="BK11" s="138">
        <v>0</v>
      </c>
      <c r="BL11" s="138">
        <v>0</v>
      </c>
      <c r="BM11" s="138">
        <v>0</v>
      </c>
      <c r="BN11" s="138"/>
      <c r="BP11" s="152"/>
      <c r="BQ11" s="152"/>
      <c r="BR11" s="152"/>
      <c r="BT11" s="154" t="s">
        <v>684</v>
      </c>
      <c r="BU11" s="154">
        <v>266</v>
      </c>
      <c r="BV11" s="154">
        <v>1</v>
      </c>
      <c r="BW11" s="154">
        <v>6</v>
      </c>
      <c r="BX11" s="154">
        <v>0</v>
      </c>
      <c r="BY11" s="154">
        <v>0</v>
      </c>
      <c r="BZ11" s="154">
        <v>261</v>
      </c>
      <c r="CA11" s="154">
        <v>211</v>
      </c>
      <c r="CB11" s="154">
        <v>55</v>
      </c>
      <c r="CC11" s="156" t="s">
        <v>472</v>
      </c>
      <c r="CD11" s="155" t="s">
        <v>687</v>
      </c>
      <c r="CE11" s="155" t="s">
        <v>689</v>
      </c>
      <c r="CI11" s="156" t="s">
        <v>478</v>
      </c>
      <c r="CJ11" t="s">
        <v>107</v>
      </c>
      <c r="CK11">
        <v>133690</v>
      </c>
      <c r="CL11" s="156" t="s">
        <v>481</v>
      </c>
      <c r="CM11" t="s">
        <v>107</v>
      </c>
      <c r="CN11">
        <v>58144</v>
      </c>
      <c r="CO11" s="156" t="s">
        <v>484</v>
      </c>
      <c r="CP11" t="s">
        <v>107</v>
      </c>
      <c r="CQ11">
        <v>4148</v>
      </c>
    </row>
    <row r="12" spans="1:118" x14ac:dyDescent="0.25">
      <c r="B12" s="100"/>
      <c r="C12" s="100"/>
      <c r="D12" s="100"/>
      <c r="E12" s="100"/>
      <c r="F12" s="100"/>
      <c r="G12" s="100"/>
      <c r="H12" s="100"/>
      <c r="J12" s="100"/>
      <c r="K12" s="43"/>
      <c r="L12" s="13"/>
      <c r="M12"/>
      <c r="N12" s="1"/>
      <c r="O12" s="100"/>
      <c r="P12" s="100"/>
      <c r="Q12" s="100"/>
      <c r="S12" s="138"/>
      <c r="T12" s="148"/>
      <c r="U12" s="148"/>
      <c r="V12" s="148"/>
      <c r="W12" s="148"/>
      <c r="X12" s="148"/>
      <c r="Z12" s="138" t="s">
        <v>644</v>
      </c>
      <c r="AA12" s="138">
        <v>0</v>
      </c>
      <c r="AB12" s="138">
        <v>0</v>
      </c>
      <c r="AC12" s="138">
        <v>0</v>
      </c>
      <c r="AD12" s="138">
        <v>0</v>
      </c>
      <c r="AE12" s="138">
        <v>0</v>
      </c>
      <c r="AF12" s="138"/>
      <c r="AG12" s="138" t="s">
        <v>644</v>
      </c>
      <c r="AH12" s="138">
        <v>0</v>
      </c>
      <c r="AI12" s="138">
        <v>0</v>
      </c>
      <c r="AJ12" s="138">
        <v>0</v>
      </c>
      <c r="AK12" s="138">
        <v>0</v>
      </c>
      <c r="AL12" s="138">
        <v>0</v>
      </c>
      <c r="AN12" s="138" t="s">
        <v>644</v>
      </c>
      <c r="AO12" s="138">
        <v>0</v>
      </c>
      <c r="AP12" s="138">
        <v>0</v>
      </c>
      <c r="AQ12" s="138">
        <v>0</v>
      </c>
      <c r="AR12" s="138">
        <v>0</v>
      </c>
      <c r="AS12" s="138">
        <v>0</v>
      </c>
      <c r="AU12" s="138" t="s">
        <v>644</v>
      </c>
      <c r="AV12" s="138">
        <v>0</v>
      </c>
      <c r="AW12" s="138">
        <v>0</v>
      </c>
      <c r="AX12" s="138">
        <v>0</v>
      </c>
      <c r="AY12" s="138">
        <v>0</v>
      </c>
      <c r="AZ12" s="138">
        <v>0</v>
      </c>
      <c r="BB12" s="138" t="s">
        <v>644</v>
      </c>
      <c r="BC12" s="138">
        <v>0</v>
      </c>
      <c r="BD12" s="138">
        <v>0</v>
      </c>
      <c r="BE12" s="138">
        <v>0</v>
      </c>
      <c r="BF12" s="138">
        <v>0</v>
      </c>
      <c r="BG12" s="138">
        <v>0</v>
      </c>
      <c r="BH12" t="s">
        <v>644</v>
      </c>
      <c r="BI12" s="138">
        <v>0</v>
      </c>
      <c r="BJ12" s="138">
        <v>0</v>
      </c>
      <c r="BK12" s="138">
        <v>0</v>
      </c>
      <c r="BL12" s="138">
        <v>0</v>
      </c>
      <c r="BM12" s="138">
        <v>0</v>
      </c>
      <c r="BN12" s="138"/>
      <c r="BP12" s="152"/>
      <c r="BQ12" s="152"/>
      <c r="BR12" s="152"/>
      <c r="BT12" s="154" t="s">
        <v>685</v>
      </c>
      <c r="BU12" s="154">
        <v>1</v>
      </c>
      <c r="BV12" s="154">
        <v>0</v>
      </c>
      <c r="BW12" s="154">
        <v>0</v>
      </c>
      <c r="BX12" s="154">
        <v>0</v>
      </c>
      <c r="BY12" s="154">
        <v>0</v>
      </c>
      <c r="BZ12" s="154">
        <v>1</v>
      </c>
      <c r="CA12" s="154">
        <v>1</v>
      </c>
      <c r="CB12" s="154">
        <v>0</v>
      </c>
      <c r="CD12" s="158">
        <v>2140410043742640</v>
      </c>
      <c r="CE12" s="161">
        <v>2320921914034.6875</v>
      </c>
      <c r="CJ12" t="s">
        <v>690</v>
      </c>
      <c r="CK12">
        <v>4173062816387</v>
      </c>
      <c r="CM12" t="s">
        <v>690</v>
      </c>
      <c r="CN12">
        <v>11370783823380</v>
      </c>
      <c r="CP12" t="s">
        <v>690</v>
      </c>
      <c r="CQ12">
        <v>488861416401</v>
      </c>
    </row>
    <row r="13" spans="1:118" x14ac:dyDescent="0.25">
      <c r="A13" s="96" t="s">
        <v>187</v>
      </c>
      <c r="B13" s="100"/>
      <c r="C13" s="100"/>
      <c r="D13" s="100"/>
      <c r="E13" s="100"/>
      <c r="F13" s="100"/>
      <c r="G13" s="100"/>
      <c r="H13" s="100"/>
      <c r="I13" s="101" t="s">
        <v>194</v>
      </c>
      <c r="J13" s="96" t="s">
        <v>193</v>
      </c>
      <c r="K13" s="139" t="s">
        <v>525</v>
      </c>
      <c r="L13" s="139" t="s">
        <v>526</v>
      </c>
      <c r="M13" s="141" t="s">
        <v>523</v>
      </c>
      <c r="N13" s="96" t="s">
        <v>187</v>
      </c>
      <c r="O13" s="143" t="s">
        <v>491</v>
      </c>
      <c r="P13" s="143" t="s">
        <v>492</v>
      </c>
      <c r="Q13" s="143" t="s">
        <v>493</v>
      </c>
      <c r="S13" s="138"/>
      <c r="T13" s="148"/>
      <c r="U13" s="148"/>
      <c r="V13" s="148"/>
      <c r="W13" s="148"/>
      <c r="X13" s="148"/>
      <c r="Z13" s="138" t="s">
        <v>645</v>
      </c>
      <c r="AA13" s="138">
        <v>0</v>
      </c>
      <c r="AB13" s="138">
        <v>0</v>
      </c>
      <c r="AC13" s="138">
        <v>0</v>
      </c>
      <c r="AD13" s="138">
        <v>0</v>
      </c>
      <c r="AE13" s="138">
        <v>0</v>
      </c>
      <c r="AF13" s="138"/>
      <c r="AG13" s="138" t="s">
        <v>645</v>
      </c>
      <c r="AH13" s="138">
        <v>0</v>
      </c>
      <c r="AI13" s="138">
        <v>0</v>
      </c>
      <c r="AJ13" s="138">
        <v>0</v>
      </c>
      <c r="AK13" s="138">
        <v>0</v>
      </c>
      <c r="AL13" s="138">
        <v>0</v>
      </c>
      <c r="AN13" s="138" t="s">
        <v>645</v>
      </c>
      <c r="AO13" s="138">
        <v>0</v>
      </c>
      <c r="AP13" s="138">
        <v>0</v>
      </c>
      <c r="AQ13" s="138">
        <v>0</v>
      </c>
      <c r="AR13" s="138">
        <v>0</v>
      </c>
      <c r="AS13" s="138">
        <v>0</v>
      </c>
      <c r="AU13" s="138" t="s">
        <v>645</v>
      </c>
      <c r="AV13" s="138">
        <v>0</v>
      </c>
      <c r="AW13" s="138">
        <v>0</v>
      </c>
      <c r="AX13" s="138">
        <v>0</v>
      </c>
      <c r="AY13" s="138">
        <v>0</v>
      </c>
      <c r="AZ13" s="138">
        <v>0</v>
      </c>
      <c r="BB13" s="138" t="s">
        <v>645</v>
      </c>
      <c r="BC13" s="138">
        <v>0</v>
      </c>
      <c r="BD13" s="138">
        <v>0</v>
      </c>
      <c r="BE13" s="138">
        <v>0</v>
      </c>
      <c r="BF13" s="138">
        <v>0</v>
      </c>
      <c r="BG13" s="138">
        <v>0</v>
      </c>
      <c r="BH13" t="s">
        <v>645</v>
      </c>
      <c r="BI13" s="138">
        <v>0</v>
      </c>
      <c r="BJ13" s="138">
        <v>0</v>
      </c>
      <c r="BK13" s="138">
        <v>0</v>
      </c>
      <c r="BL13" s="138">
        <v>0</v>
      </c>
      <c r="BM13" s="138">
        <v>0</v>
      </c>
      <c r="BN13" s="138"/>
      <c r="BO13" s="143" t="s">
        <v>451</v>
      </c>
      <c r="BP13" s="153" t="s">
        <v>632</v>
      </c>
      <c r="BQ13" s="152"/>
      <c r="BR13" s="152"/>
      <c r="BT13" s="154"/>
      <c r="BU13" s="154"/>
      <c r="BV13" s="154"/>
      <c r="BW13" s="154"/>
      <c r="BX13" s="154"/>
      <c r="BY13" s="154"/>
      <c r="BZ13" s="154"/>
      <c r="CA13" s="154"/>
      <c r="CB13" s="154"/>
      <c r="CJ13" t="s">
        <v>691</v>
      </c>
      <c r="CK13">
        <v>4082881290341.5762</v>
      </c>
      <c r="CM13" t="s">
        <v>691</v>
      </c>
      <c r="CN13">
        <v>10763062809836.637</v>
      </c>
      <c r="CP13" t="s">
        <v>691</v>
      </c>
      <c r="CQ13">
        <v>223930645713.99994</v>
      </c>
    </row>
    <row r="14" spans="1:118" x14ac:dyDescent="0.25">
      <c r="B14" s="100"/>
      <c r="C14" s="100"/>
      <c r="D14" s="100"/>
      <c r="E14" s="100"/>
      <c r="F14" s="100"/>
      <c r="G14" s="100"/>
      <c r="H14" s="100"/>
      <c r="J14" s="100" t="str">
        <f>K14&amp;L14</f>
        <v>ABuy</v>
      </c>
      <c r="K14" s="138" t="s">
        <v>527</v>
      </c>
      <c r="L14" s="138" t="s">
        <v>528</v>
      </c>
      <c r="M14" s="142">
        <v>221680965775.965</v>
      </c>
      <c r="N14" s="1"/>
      <c r="O14" s="211">
        <v>784579000000</v>
      </c>
      <c r="P14" s="211">
        <v>-771216000000</v>
      </c>
      <c r="Q14" s="211">
        <v>13363000000</v>
      </c>
      <c r="Z14" s="138" t="s">
        <v>646</v>
      </c>
      <c r="AA14" s="138">
        <v>0</v>
      </c>
      <c r="AB14" s="138">
        <v>0</v>
      </c>
      <c r="AC14" s="138">
        <v>0</v>
      </c>
      <c r="AD14" s="138">
        <v>0</v>
      </c>
      <c r="AE14" s="138">
        <v>0</v>
      </c>
      <c r="AF14" s="138"/>
      <c r="AG14" s="138" t="s">
        <v>646</v>
      </c>
      <c r="AH14" s="138">
        <v>0</v>
      </c>
      <c r="AI14" s="138">
        <v>0</v>
      </c>
      <c r="AJ14" s="138">
        <v>0</v>
      </c>
      <c r="AK14" s="138">
        <v>0</v>
      </c>
      <c r="AL14" s="138">
        <v>0</v>
      </c>
      <c r="AN14" s="138" t="s">
        <v>646</v>
      </c>
      <c r="AO14" s="138">
        <v>0</v>
      </c>
      <c r="AP14" s="138">
        <v>0</v>
      </c>
      <c r="AQ14" s="138">
        <v>0</v>
      </c>
      <c r="AR14" s="138">
        <v>0</v>
      </c>
      <c r="AS14" s="138">
        <v>0</v>
      </c>
      <c r="AU14" s="138" t="s">
        <v>646</v>
      </c>
      <c r="AV14" s="138">
        <v>0</v>
      </c>
      <c r="AW14" s="138">
        <v>0</v>
      </c>
      <c r="AX14" s="138">
        <v>0</v>
      </c>
      <c r="AY14" s="138">
        <v>0</v>
      </c>
      <c r="AZ14" s="138">
        <v>0</v>
      </c>
      <c r="BB14" s="138" t="s">
        <v>646</v>
      </c>
      <c r="BC14" s="138">
        <v>0</v>
      </c>
      <c r="BD14" s="138">
        <v>0</v>
      </c>
      <c r="BE14" s="138">
        <v>0</v>
      </c>
      <c r="BF14" s="138">
        <v>0</v>
      </c>
      <c r="BG14" s="138">
        <v>0</v>
      </c>
      <c r="BH14" t="s">
        <v>646</v>
      </c>
      <c r="BI14" s="138">
        <v>0</v>
      </c>
      <c r="BJ14" s="138">
        <v>0</v>
      </c>
      <c r="BK14" s="138">
        <v>0</v>
      </c>
      <c r="BL14" s="138">
        <v>0</v>
      </c>
      <c r="BM14" s="138">
        <v>0</v>
      </c>
      <c r="BN14" s="138"/>
      <c r="BP14" s="152"/>
      <c r="BQ14" s="152"/>
      <c r="BR14" s="152"/>
      <c r="BT14" s="154"/>
      <c r="BU14" s="154"/>
      <c r="BV14" s="154"/>
      <c r="BW14" s="154"/>
      <c r="BX14" s="154"/>
      <c r="BY14" s="154"/>
      <c r="BZ14" s="154"/>
      <c r="CA14" s="154"/>
      <c r="CB14" s="154"/>
      <c r="CC14" s="156" t="s">
        <v>473</v>
      </c>
      <c r="CD14" s="162" t="s">
        <v>687</v>
      </c>
      <c r="CE14" s="162" t="s">
        <v>689</v>
      </c>
      <c r="CR14" s="156" t="s">
        <v>486</v>
      </c>
      <c r="CS14" s="164" t="s">
        <v>711</v>
      </c>
      <c r="CT14" s="163" t="s">
        <v>693</v>
      </c>
      <c r="CU14" s="163" t="s">
        <v>694</v>
      </c>
      <c r="CV14" s="163" t="s">
        <v>695</v>
      </c>
      <c r="CW14" s="163" t="s">
        <v>696</v>
      </c>
      <c r="CX14" s="163" t="s">
        <v>697</v>
      </c>
      <c r="CY14" s="163" t="s">
        <v>698</v>
      </c>
      <c r="CZ14" s="163" t="s">
        <v>699</v>
      </c>
      <c r="DA14" s="163" t="s">
        <v>700</v>
      </c>
      <c r="DB14" s="163" t="s">
        <v>701</v>
      </c>
      <c r="DC14" s="163" t="s">
        <v>702</v>
      </c>
      <c r="DD14" s="163" t="s">
        <v>703</v>
      </c>
    </row>
    <row r="15" spans="1:118" x14ac:dyDescent="0.25">
      <c r="B15" s="100"/>
      <c r="C15" s="100"/>
      <c r="D15" s="100"/>
      <c r="E15" s="100"/>
      <c r="F15" s="137"/>
      <c r="G15" s="137"/>
      <c r="H15" s="100"/>
      <c r="J15" s="100" t="str">
        <f t="shared" ref="J15:J17" si="2">K15&amp;L15</f>
        <v>PBuy</v>
      </c>
      <c r="K15" s="138" t="s">
        <v>529</v>
      </c>
      <c r="L15" s="138" t="s">
        <v>528</v>
      </c>
      <c r="M15" s="142">
        <v>249064244933.55502</v>
      </c>
      <c r="N15" s="1"/>
      <c r="O15" s="100"/>
      <c r="P15" s="100"/>
      <c r="Q15" s="100"/>
      <c r="S15" s="139"/>
      <c r="T15" s="147"/>
      <c r="U15" s="147"/>
      <c r="V15" s="147"/>
      <c r="W15" s="147"/>
      <c r="X15" s="147"/>
      <c r="Z15" s="138" t="s">
        <v>647</v>
      </c>
      <c r="AA15" s="138">
        <v>0</v>
      </c>
      <c r="AB15" s="138">
        <v>0</v>
      </c>
      <c r="AC15" s="138">
        <v>0</v>
      </c>
      <c r="AD15" s="138">
        <v>0</v>
      </c>
      <c r="AE15" s="138">
        <v>0</v>
      </c>
      <c r="AF15" s="138"/>
      <c r="AG15" s="138" t="s">
        <v>647</v>
      </c>
      <c r="AH15" s="138">
        <v>0</v>
      </c>
      <c r="AI15" s="138">
        <v>0</v>
      </c>
      <c r="AJ15" s="138">
        <v>0</v>
      </c>
      <c r="AK15" s="138">
        <v>0</v>
      </c>
      <c r="AL15" s="138">
        <v>0</v>
      </c>
      <c r="AN15" s="138" t="s">
        <v>647</v>
      </c>
      <c r="AO15" s="138">
        <v>0</v>
      </c>
      <c r="AP15" s="138">
        <v>0</v>
      </c>
      <c r="AQ15" s="138">
        <v>0</v>
      </c>
      <c r="AR15" s="138">
        <v>0</v>
      </c>
      <c r="AS15" s="138">
        <v>0</v>
      </c>
      <c r="AU15" s="138" t="s">
        <v>647</v>
      </c>
      <c r="AV15" s="138">
        <v>0</v>
      </c>
      <c r="AW15" s="138">
        <v>0</v>
      </c>
      <c r="AX15" s="138">
        <v>0</v>
      </c>
      <c r="AY15" s="138">
        <v>0</v>
      </c>
      <c r="AZ15" s="138">
        <v>0</v>
      </c>
      <c r="BB15" s="138" t="s">
        <v>647</v>
      </c>
      <c r="BC15" s="138">
        <v>0</v>
      </c>
      <c r="BD15" s="138">
        <v>0</v>
      </c>
      <c r="BE15" s="138">
        <v>0</v>
      </c>
      <c r="BF15" s="138">
        <v>0</v>
      </c>
      <c r="BG15" s="138">
        <v>0</v>
      </c>
      <c r="BH15" t="s">
        <v>647</v>
      </c>
      <c r="BI15" s="138">
        <v>0</v>
      </c>
      <c r="BJ15" s="138">
        <v>0</v>
      </c>
      <c r="BK15" s="138">
        <v>0</v>
      </c>
      <c r="BL15" s="138">
        <v>0</v>
      </c>
      <c r="BM15" s="138">
        <v>0</v>
      </c>
      <c r="BN15" s="138"/>
      <c r="BP15" s="152"/>
      <c r="BQ15" s="152"/>
      <c r="BR15" s="152"/>
      <c r="BT15" s="154"/>
      <c r="BU15" s="154"/>
      <c r="BV15" s="154"/>
      <c r="BW15" s="154"/>
      <c r="BX15" s="154"/>
      <c r="BY15" s="154"/>
      <c r="BZ15" s="154"/>
      <c r="CA15" s="154"/>
      <c r="CB15" s="154"/>
      <c r="CD15" s="161">
        <v>1938297001659012</v>
      </c>
      <c r="CE15" s="161">
        <v>2572744499954.1699</v>
      </c>
      <c r="CS15" s="165" t="s">
        <v>712</v>
      </c>
      <c r="CT15" s="163">
        <v>20</v>
      </c>
      <c r="CU15" s="163" t="s">
        <v>704</v>
      </c>
      <c r="CV15" s="163">
        <v>0</v>
      </c>
      <c r="CW15" s="163">
        <v>-6684718616</v>
      </c>
      <c r="CX15" s="163">
        <v>478</v>
      </c>
      <c r="CY15" s="163">
        <v>0</v>
      </c>
      <c r="CZ15" s="163">
        <v>33522857863</v>
      </c>
      <c r="DA15" s="163">
        <v>237</v>
      </c>
      <c r="DB15" s="163">
        <v>0</v>
      </c>
      <c r="DC15" s="163">
        <v>40207576479</v>
      </c>
      <c r="DD15" s="163">
        <v>241</v>
      </c>
    </row>
    <row r="16" spans="1:118" x14ac:dyDescent="0.25">
      <c r="A16" s="96" t="s">
        <v>188</v>
      </c>
      <c r="B16" s="100"/>
      <c r="C16" s="100"/>
      <c r="D16" s="100"/>
      <c r="E16" s="100"/>
      <c r="F16" s="137"/>
      <c r="G16" s="137"/>
      <c r="H16" s="100"/>
      <c r="J16" s="100" t="str">
        <f t="shared" si="2"/>
        <v>ASell</v>
      </c>
      <c r="K16" s="138" t="s">
        <v>527</v>
      </c>
      <c r="L16" s="138" t="s">
        <v>530</v>
      </c>
      <c r="M16" s="142">
        <v>210234015363.64499</v>
      </c>
      <c r="N16" s="96" t="s">
        <v>188</v>
      </c>
      <c r="O16" s="143" t="s">
        <v>491</v>
      </c>
      <c r="P16" s="143" t="s">
        <v>492</v>
      </c>
      <c r="Q16" s="143" t="s">
        <v>493</v>
      </c>
      <c r="S16" s="138"/>
      <c r="T16" s="148"/>
      <c r="U16" s="148"/>
      <c r="V16" s="148"/>
      <c r="W16" s="148"/>
      <c r="X16" s="148"/>
      <c r="Z16" s="138" t="s">
        <v>648</v>
      </c>
      <c r="AA16" s="138">
        <v>0</v>
      </c>
      <c r="AB16" s="138">
        <v>0</v>
      </c>
      <c r="AC16" s="138">
        <v>0</v>
      </c>
      <c r="AD16" s="138">
        <v>0</v>
      </c>
      <c r="AE16" s="138">
        <v>0</v>
      </c>
      <c r="AF16" s="138"/>
      <c r="AG16" s="138" t="s">
        <v>648</v>
      </c>
      <c r="AH16" s="138">
        <v>0</v>
      </c>
      <c r="AI16" s="138">
        <v>0</v>
      </c>
      <c r="AJ16" s="138">
        <v>0</v>
      </c>
      <c r="AK16" s="138">
        <v>0</v>
      </c>
      <c r="AL16" s="138">
        <v>0</v>
      </c>
      <c r="AN16" s="138" t="s">
        <v>648</v>
      </c>
      <c r="AO16" s="138">
        <v>0</v>
      </c>
      <c r="AP16" s="138">
        <v>0</v>
      </c>
      <c r="AQ16" s="138">
        <v>0</v>
      </c>
      <c r="AR16" s="138">
        <v>0</v>
      </c>
      <c r="AS16" s="138">
        <v>0</v>
      </c>
      <c r="AU16" s="138" t="s">
        <v>648</v>
      </c>
      <c r="AV16" s="138">
        <v>0</v>
      </c>
      <c r="AW16" s="138">
        <v>0</v>
      </c>
      <c r="AX16" s="138">
        <v>0</v>
      </c>
      <c r="AY16" s="138">
        <v>0</v>
      </c>
      <c r="AZ16" s="138">
        <v>0</v>
      </c>
      <c r="BB16" s="138" t="s">
        <v>648</v>
      </c>
      <c r="BC16" s="138">
        <v>0</v>
      </c>
      <c r="BD16" s="138">
        <v>0</v>
      </c>
      <c r="BE16" s="138">
        <v>0</v>
      </c>
      <c r="BF16" s="138">
        <v>0</v>
      </c>
      <c r="BG16" s="138">
        <v>0</v>
      </c>
      <c r="BH16" t="s">
        <v>648</v>
      </c>
      <c r="BI16" s="138">
        <v>0</v>
      </c>
      <c r="BJ16" s="138">
        <v>0</v>
      </c>
      <c r="BK16" s="138">
        <v>0</v>
      </c>
      <c r="BL16" s="138">
        <v>0</v>
      </c>
      <c r="BM16" s="138">
        <v>0</v>
      </c>
      <c r="BN16" s="138"/>
      <c r="BO16" s="143" t="s">
        <v>452</v>
      </c>
      <c r="BP16" s="153" t="s">
        <v>632</v>
      </c>
      <c r="BQ16" s="152"/>
      <c r="BR16" s="152"/>
      <c r="CS16" s="165" t="s">
        <v>712</v>
      </c>
      <c r="CT16" s="163">
        <v>1</v>
      </c>
      <c r="CU16" s="163" t="s">
        <v>705</v>
      </c>
      <c r="CV16" s="163">
        <v>-9360911.4700000007</v>
      </c>
      <c r="CW16" s="163">
        <v>-8760000</v>
      </c>
      <c r="CX16" s="163">
        <v>1</v>
      </c>
      <c r="CY16" s="163">
        <v>0</v>
      </c>
      <c r="CZ16" s="163">
        <v>0</v>
      </c>
      <c r="DA16" s="163">
        <v>0</v>
      </c>
      <c r="DB16" s="163">
        <v>9360911.4700000007</v>
      </c>
      <c r="DC16" s="163">
        <v>8760000</v>
      </c>
      <c r="DD16" s="163">
        <v>1</v>
      </c>
    </row>
    <row r="17" spans="1:108" x14ac:dyDescent="0.25">
      <c r="B17" s="100"/>
      <c r="C17" s="100"/>
      <c r="D17" s="100"/>
      <c r="E17" s="100"/>
      <c r="F17" s="100"/>
      <c r="G17" s="100"/>
      <c r="H17" s="100"/>
      <c r="J17" s="100" t="str">
        <f t="shared" si="2"/>
        <v>PSell</v>
      </c>
      <c r="K17" s="138" t="s">
        <v>529</v>
      </c>
      <c r="L17" s="138" t="s">
        <v>530</v>
      </c>
      <c r="M17" s="142">
        <v>260511195345.875</v>
      </c>
      <c r="N17" s="1"/>
      <c r="O17" s="211">
        <v>645668000000</v>
      </c>
      <c r="P17" s="211">
        <v>-645833000000</v>
      </c>
      <c r="Q17" s="211">
        <v>-165000000</v>
      </c>
      <c r="R17" s="101" t="s">
        <v>420</v>
      </c>
      <c r="S17" s="138"/>
      <c r="T17" s="148"/>
      <c r="U17" s="148"/>
      <c r="V17" s="148"/>
      <c r="W17" s="148"/>
      <c r="X17" s="148"/>
      <c r="Z17" s="138" t="s">
        <v>649</v>
      </c>
      <c r="AA17" s="138">
        <v>0</v>
      </c>
      <c r="AB17" s="138">
        <v>0</v>
      </c>
      <c r="AC17" s="138">
        <v>0</v>
      </c>
      <c r="AD17" s="138">
        <v>0</v>
      </c>
      <c r="AE17" s="138">
        <v>0</v>
      </c>
      <c r="AF17" s="138"/>
      <c r="AG17" s="138" t="s">
        <v>649</v>
      </c>
      <c r="AH17" s="138">
        <v>0</v>
      </c>
      <c r="AI17" s="138">
        <v>0</v>
      </c>
      <c r="AJ17" s="138">
        <v>0</v>
      </c>
      <c r="AK17" s="138">
        <v>0</v>
      </c>
      <c r="AL17" s="138">
        <v>0</v>
      </c>
      <c r="AN17" s="138" t="s">
        <v>649</v>
      </c>
      <c r="AO17" s="138">
        <v>0</v>
      </c>
      <c r="AP17" s="138">
        <v>0</v>
      </c>
      <c r="AQ17" s="138">
        <v>0</v>
      </c>
      <c r="AR17" s="138">
        <v>0</v>
      </c>
      <c r="AS17" s="138">
        <v>0</v>
      </c>
      <c r="AU17" s="138" t="s">
        <v>649</v>
      </c>
      <c r="AV17" s="138">
        <v>0</v>
      </c>
      <c r="AW17" s="138">
        <v>0</v>
      </c>
      <c r="AX17" s="138">
        <v>0</v>
      </c>
      <c r="AY17" s="138">
        <v>0</v>
      </c>
      <c r="AZ17" s="138">
        <v>0</v>
      </c>
      <c r="BB17" s="138" t="s">
        <v>649</v>
      </c>
      <c r="BC17" s="138">
        <v>0</v>
      </c>
      <c r="BD17" s="138">
        <v>0</v>
      </c>
      <c r="BE17" s="138">
        <v>0</v>
      </c>
      <c r="BF17" s="138">
        <v>0</v>
      </c>
      <c r="BG17" s="138">
        <v>0</v>
      </c>
      <c r="BH17" t="s">
        <v>649</v>
      </c>
      <c r="BI17" s="138">
        <v>0</v>
      </c>
      <c r="BJ17" s="138">
        <v>0</v>
      </c>
      <c r="BK17" s="138">
        <v>0</v>
      </c>
      <c r="BL17" s="138">
        <v>0</v>
      </c>
      <c r="BM17" s="138">
        <v>0</v>
      </c>
      <c r="BN17" s="138"/>
      <c r="BP17" s="152"/>
      <c r="BQ17" s="152"/>
      <c r="BR17" s="152"/>
      <c r="BS17" s="102" t="s">
        <v>467</v>
      </c>
      <c r="BT17" s="155" t="s">
        <v>675</v>
      </c>
      <c r="BU17" s="155" t="s">
        <v>676</v>
      </c>
      <c r="BV17" s="155" t="s">
        <v>677</v>
      </c>
      <c r="BW17" s="155" t="s">
        <v>678</v>
      </c>
      <c r="BX17" s="155" t="s">
        <v>679</v>
      </c>
      <c r="BY17" s="155" t="s">
        <v>680</v>
      </c>
      <c r="BZ17" s="155" t="s">
        <v>681</v>
      </c>
      <c r="CA17" s="155" t="s">
        <v>682</v>
      </c>
      <c r="CB17" s="155" t="s">
        <v>683</v>
      </c>
      <c r="CC17" s="216" t="s">
        <v>495</v>
      </c>
      <c r="CD17" s="215" t="s">
        <v>687</v>
      </c>
      <c r="CE17" s="215" t="s">
        <v>689</v>
      </c>
      <c r="CS17" s="165" t="s">
        <v>712</v>
      </c>
      <c r="CT17" s="163">
        <v>21</v>
      </c>
      <c r="CU17" s="163" t="s">
        <v>706</v>
      </c>
      <c r="CV17" s="163">
        <v>-95036260321.190002</v>
      </c>
      <c r="CW17" s="163">
        <v>-100371161600</v>
      </c>
      <c r="CX17" s="163">
        <v>1440</v>
      </c>
      <c r="CY17" s="163">
        <v>133323889546.38998</v>
      </c>
      <c r="CZ17" s="163">
        <v>158914808400</v>
      </c>
      <c r="DA17" s="163">
        <v>663</v>
      </c>
      <c r="DB17" s="163">
        <v>228360149867.58005</v>
      </c>
      <c r="DC17" s="163">
        <v>259285970000</v>
      </c>
      <c r="DD17" s="163">
        <v>777</v>
      </c>
    </row>
    <row r="18" spans="1:108" x14ac:dyDescent="0.25">
      <c r="B18" s="100"/>
      <c r="C18" s="100"/>
      <c r="D18" s="100"/>
      <c r="E18" s="100"/>
      <c r="F18" s="100"/>
      <c r="G18" s="100"/>
      <c r="H18" s="100"/>
      <c r="J18" s="100"/>
      <c r="M18"/>
      <c r="N18" s="1"/>
      <c r="O18" s="100"/>
      <c r="P18" s="100"/>
      <c r="Q18" s="100"/>
      <c r="S18" s="138"/>
      <c r="T18" s="148"/>
      <c r="U18" s="148"/>
      <c r="V18" s="148"/>
      <c r="W18" s="148"/>
      <c r="X18" s="148"/>
      <c r="Z18" s="138" t="s">
        <v>650</v>
      </c>
      <c r="AA18" s="138">
        <v>0</v>
      </c>
      <c r="AB18" s="138">
        <v>0</v>
      </c>
      <c r="AC18" s="138">
        <v>0</v>
      </c>
      <c r="AD18" s="138">
        <v>0</v>
      </c>
      <c r="AE18" s="138">
        <v>0</v>
      </c>
      <c r="AF18" s="138"/>
      <c r="AG18" s="138" t="s">
        <v>650</v>
      </c>
      <c r="AH18" s="138">
        <v>0</v>
      </c>
      <c r="AI18" s="138">
        <v>0</v>
      </c>
      <c r="AJ18" s="138">
        <v>0</v>
      </c>
      <c r="AK18" s="138">
        <v>0</v>
      </c>
      <c r="AL18" s="138">
        <v>0</v>
      </c>
      <c r="AN18" s="138" t="s">
        <v>650</v>
      </c>
      <c r="AO18" s="138">
        <v>0</v>
      </c>
      <c r="AP18" s="138">
        <v>0</v>
      </c>
      <c r="AQ18" s="138">
        <v>0</v>
      </c>
      <c r="AR18" s="138">
        <v>0</v>
      </c>
      <c r="AS18" s="138">
        <v>0</v>
      </c>
      <c r="AU18" s="138" t="s">
        <v>650</v>
      </c>
      <c r="AV18" s="138">
        <v>0</v>
      </c>
      <c r="AW18" s="138">
        <v>0</v>
      </c>
      <c r="AX18" s="138">
        <v>0</v>
      </c>
      <c r="AY18" s="138">
        <v>0</v>
      </c>
      <c r="AZ18" s="138">
        <v>0</v>
      </c>
      <c r="BB18" s="138" t="s">
        <v>650</v>
      </c>
      <c r="BC18" s="138">
        <v>0</v>
      </c>
      <c r="BD18" s="138">
        <v>0</v>
      </c>
      <c r="BE18" s="138">
        <v>0</v>
      </c>
      <c r="BF18" s="138">
        <v>0</v>
      </c>
      <c r="BG18" s="138">
        <v>0</v>
      </c>
      <c r="BH18" t="s">
        <v>650</v>
      </c>
      <c r="BI18" s="138">
        <v>0</v>
      </c>
      <c r="BJ18" s="138">
        <v>0</v>
      </c>
      <c r="BK18" s="138">
        <v>0</v>
      </c>
      <c r="BL18" s="138">
        <v>0</v>
      </c>
      <c r="BM18" s="138">
        <v>0</v>
      </c>
      <c r="BN18" s="138"/>
      <c r="BP18" s="152"/>
      <c r="BQ18" s="152"/>
      <c r="BR18" s="152"/>
      <c r="BT18" s="154" t="s">
        <v>125</v>
      </c>
      <c r="BU18">
        <v>34</v>
      </c>
      <c r="BV18" s="154">
        <v>0</v>
      </c>
      <c r="BW18" s="154">
        <v>2</v>
      </c>
      <c r="BX18" s="154">
        <v>0</v>
      </c>
      <c r="BY18" s="154">
        <v>0</v>
      </c>
      <c r="BZ18" s="154">
        <v>32</v>
      </c>
      <c r="CA18" s="154">
        <v>24</v>
      </c>
      <c r="CB18" s="154">
        <v>10</v>
      </c>
      <c r="CD18" s="217">
        <v>19902773291526.066</v>
      </c>
      <c r="CE18" s="218">
        <v>62241471689.130112</v>
      </c>
      <c r="CS18" s="165" t="s">
        <v>712</v>
      </c>
      <c r="CT18" s="163">
        <v>21</v>
      </c>
      <c r="CU18" s="163" t="s">
        <v>707</v>
      </c>
      <c r="CV18" s="163">
        <v>87463303174.649963</v>
      </c>
      <c r="CW18" s="163">
        <v>91176761600</v>
      </c>
      <c r="CX18" s="163">
        <v>1384</v>
      </c>
      <c r="CY18" s="163">
        <v>218427515560.66998</v>
      </c>
      <c r="CZ18" s="163">
        <v>247460270000</v>
      </c>
      <c r="DA18" s="163">
        <v>737</v>
      </c>
      <c r="DB18" s="163">
        <v>130964212386.02002</v>
      </c>
      <c r="DC18" s="163">
        <v>156283508400</v>
      </c>
      <c r="DD18" s="163">
        <v>647</v>
      </c>
    </row>
    <row r="19" spans="1:108" x14ac:dyDescent="0.25">
      <c r="A19" s="96" t="s">
        <v>189</v>
      </c>
      <c r="B19" s="100"/>
      <c r="C19" s="100"/>
      <c r="D19" s="100"/>
      <c r="E19" s="100"/>
      <c r="F19" s="100"/>
      <c r="G19" s="100"/>
      <c r="H19" s="100"/>
      <c r="I19" s="101" t="s">
        <v>195</v>
      </c>
      <c r="J19" s="96" t="s">
        <v>193</v>
      </c>
      <c r="K19" s="139" t="s">
        <v>525</v>
      </c>
      <c r="L19" s="139" t="s">
        <v>526</v>
      </c>
      <c r="M19" s="141" t="s">
        <v>523</v>
      </c>
      <c r="N19" s="96" t="s">
        <v>189</v>
      </c>
      <c r="O19" s="143" t="s">
        <v>491</v>
      </c>
      <c r="P19" s="143" t="s">
        <v>492</v>
      </c>
      <c r="Q19" s="143" t="s">
        <v>493</v>
      </c>
      <c r="S19" s="138"/>
      <c r="T19" s="148"/>
      <c r="U19" s="148"/>
      <c r="V19" s="148"/>
      <c r="W19" s="148"/>
      <c r="X19" s="148"/>
      <c r="Z19" s="138" t="s">
        <v>651</v>
      </c>
      <c r="AA19" s="138">
        <v>0</v>
      </c>
      <c r="AB19" s="138">
        <v>0</v>
      </c>
      <c r="AC19" s="138">
        <v>0</v>
      </c>
      <c r="AD19" s="138">
        <v>0</v>
      </c>
      <c r="AE19" s="138">
        <v>0</v>
      </c>
      <c r="AF19" s="138"/>
      <c r="AG19" s="138" t="s">
        <v>651</v>
      </c>
      <c r="AH19" s="138">
        <v>0</v>
      </c>
      <c r="AI19" s="138">
        <v>0</v>
      </c>
      <c r="AJ19" s="138">
        <v>0</v>
      </c>
      <c r="AK19" s="138">
        <v>0</v>
      </c>
      <c r="AL19" s="138">
        <v>0</v>
      </c>
      <c r="AN19" s="138" t="s">
        <v>651</v>
      </c>
      <c r="AO19" s="138">
        <v>0</v>
      </c>
      <c r="AP19" s="138">
        <v>0</v>
      </c>
      <c r="AQ19" s="138">
        <v>0</v>
      </c>
      <c r="AR19" s="138">
        <v>0</v>
      </c>
      <c r="AS19" s="138">
        <v>0</v>
      </c>
      <c r="AU19" s="138" t="s">
        <v>651</v>
      </c>
      <c r="AV19" s="138">
        <v>0</v>
      </c>
      <c r="AW19" s="138">
        <v>0</v>
      </c>
      <c r="AX19" s="138">
        <v>0</v>
      </c>
      <c r="AY19" s="138">
        <v>0</v>
      </c>
      <c r="AZ19" s="138">
        <v>0</v>
      </c>
      <c r="BB19" s="138" t="s">
        <v>651</v>
      </c>
      <c r="BC19" s="138">
        <v>0</v>
      </c>
      <c r="BD19" s="138">
        <v>0</v>
      </c>
      <c r="BE19" s="138">
        <v>0</v>
      </c>
      <c r="BF19" s="138">
        <v>0</v>
      </c>
      <c r="BG19" s="138">
        <v>0</v>
      </c>
      <c r="BH19" t="s">
        <v>651</v>
      </c>
      <c r="BI19" s="138">
        <v>0</v>
      </c>
      <c r="BJ19" s="138">
        <v>0</v>
      </c>
      <c r="BK19" s="138">
        <v>0</v>
      </c>
      <c r="BL19" s="138">
        <v>0</v>
      </c>
      <c r="BM19" s="138">
        <v>0</v>
      </c>
      <c r="BN19" s="138"/>
      <c r="BO19" s="102" t="s">
        <v>449</v>
      </c>
      <c r="BP19" s="153" t="s">
        <v>523</v>
      </c>
      <c r="BQ19" s="153" t="s">
        <v>630</v>
      </c>
      <c r="BR19" s="153" t="s">
        <v>631</v>
      </c>
      <c r="BT19" s="154" t="s">
        <v>684</v>
      </c>
      <c r="BU19" s="154">
        <v>277</v>
      </c>
      <c r="BV19" s="154">
        <v>2</v>
      </c>
      <c r="BW19" s="154">
        <v>12</v>
      </c>
      <c r="BX19" s="154">
        <v>0</v>
      </c>
      <c r="BY19" s="154">
        <v>0</v>
      </c>
      <c r="BZ19" s="154">
        <v>267</v>
      </c>
      <c r="CA19" s="154">
        <v>217</v>
      </c>
      <c r="CB19" s="154">
        <v>60</v>
      </c>
      <c r="CS19" s="165" t="s">
        <v>712</v>
      </c>
      <c r="CT19" s="163">
        <v>95</v>
      </c>
      <c r="CU19" s="163" t="s">
        <v>708</v>
      </c>
      <c r="CV19" s="163">
        <v>-37889444146.070007</v>
      </c>
      <c r="CW19" s="163">
        <v>-41639012089</v>
      </c>
      <c r="CX19" s="163">
        <v>656</v>
      </c>
      <c r="CY19" s="163">
        <v>16466828119.750008</v>
      </c>
      <c r="CZ19" s="163">
        <v>20447451732</v>
      </c>
      <c r="DA19" s="163">
        <v>306</v>
      </c>
      <c r="DB19" s="163">
        <v>54356272265.819984</v>
      </c>
      <c r="DC19" s="163">
        <v>62086463821</v>
      </c>
      <c r="DD19" s="163">
        <v>350</v>
      </c>
    </row>
    <row r="20" spans="1:108" x14ac:dyDescent="0.25">
      <c r="B20" s="100"/>
      <c r="C20" s="100"/>
      <c r="D20" s="100"/>
      <c r="E20" s="100"/>
      <c r="F20" s="100"/>
      <c r="G20" s="100"/>
      <c r="H20" s="100"/>
      <c r="J20" s="100" t="str">
        <f>K20&amp;L20</f>
        <v>ABuy</v>
      </c>
      <c r="K20" s="138" t="s">
        <v>527</v>
      </c>
      <c r="L20" s="138" t="s">
        <v>528</v>
      </c>
      <c r="M20" s="142">
        <v>152617729703.16998</v>
      </c>
      <c r="N20" s="1"/>
      <c r="O20" s="211">
        <v>525050000000</v>
      </c>
      <c r="P20" s="211">
        <v>-528401000000</v>
      </c>
      <c r="Q20" s="211">
        <v>-3351000000</v>
      </c>
      <c r="S20" s="138"/>
      <c r="T20" s="148"/>
      <c r="U20" s="148"/>
      <c r="V20" s="148"/>
      <c r="W20" s="148"/>
      <c r="X20" s="148"/>
      <c r="Z20" s="138" t="s">
        <v>652</v>
      </c>
      <c r="AA20" s="138">
        <v>0</v>
      </c>
      <c r="AB20" s="138">
        <v>0</v>
      </c>
      <c r="AC20" s="138">
        <v>0</v>
      </c>
      <c r="AD20" s="138">
        <v>0</v>
      </c>
      <c r="AE20" s="138">
        <v>0</v>
      </c>
      <c r="AF20" s="138"/>
      <c r="AG20" s="138" t="s">
        <v>652</v>
      </c>
      <c r="AH20" s="138">
        <v>0</v>
      </c>
      <c r="AI20" s="138">
        <v>0</v>
      </c>
      <c r="AJ20" s="138">
        <v>0</v>
      </c>
      <c r="AK20" s="138">
        <v>0</v>
      </c>
      <c r="AL20" s="138">
        <v>0</v>
      </c>
      <c r="AN20" s="138" t="s">
        <v>652</v>
      </c>
      <c r="AO20" s="138">
        <v>0</v>
      </c>
      <c r="AP20" s="138">
        <v>0</v>
      </c>
      <c r="AQ20" s="138">
        <v>0</v>
      </c>
      <c r="AR20" s="138">
        <v>0</v>
      </c>
      <c r="AS20" s="138">
        <v>0</v>
      </c>
      <c r="AU20" s="138" t="s">
        <v>652</v>
      </c>
      <c r="AV20" s="138">
        <v>0</v>
      </c>
      <c r="AW20" s="138">
        <v>0</v>
      </c>
      <c r="AX20" s="138">
        <v>0</v>
      </c>
      <c r="AY20" s="138">
        <v>0</v>
      </c>
      <c r="AZ20" s="138">
        <v>0</v>
      </c>
      <c r="BB20" s="138" t="s">
        <v>652</v>
      </c>
      <c r="BC20" s="138">
        <v>0</v>
      </c>
      <c r="BD20" s="138">
        <v>0</v>
      </c>
      <c r="BE20" s="138">
        <v>0</v>
      </c>
      <c r="BF20" s="138">
        <v>0</v>
      </c>
      <c r="BG20" s="138">
        <v>0</v>
      </c>
      <c r="BH20" t="s">
        <v>652</v>
      </c>
      <c r="BI20" s="138">
        <v>0</v>
      </c>
      <c r="BJ20" s="138">
        <v>0</v>
      </c>
      <c r="BK20" s="138">
        <v>0</v>
      </c>
      <c r="BL20" s="138">
        <v>0</v>
      </c>
      <c r="BM20" s="138">
        <v>0</v>
      </c>
      <c r="BN20" s="138"/>
      <c r="BP20" s="152">
        <v>54981426326.040001</v>
      </c>
      <c r="BQ20" s="152">
        <v>591317</v>
      </c>
      <c r="BR20" s="152">
        <v>926</v>
      </c>
      <c r="BT20" s="154" t="s">
        <v>685</v>
      </c>
      <c r="BU20" s="154">
        <v>1</v>
      </c>
      <c r="BV20" s="154">
        <v>0</v>
      </c>
      <c r="BW20" s="154">
        <v>0</v>
      </c>
      <c r="BX20" s="154">
        <v>0</v>
      </c>
      <c r="BY20" s="154">
        <v>0</v>
      </c>
      <c r="BZ20" s="154">
        <v>1</v>
      </c>
      <c r="CA20" s="154">
        <v>1</v>
      </c>
      <c r="CB20" s="154">
        <v>0</v>
      </c>
      <c r="CC20" s="216" t="s">
        <v>494</v>
      </c>
      <c r="CD20" s="215" t="s">
        <v>687</v>
      </c>
      <c r="CE20" s="215" t="s">
        <v>689</v>
      </c>
      <c r="CS20" s="165" t="s">
        <v>712</v>
      </c>
      <c r="CT20" s="163">
        <v>26</v>
      </c>
      <c r="CU20" s="163" t="s">
        <v>709</v>
      </c>
      <c r="CV20" s="163">
        <v>-2234973232.8399992</v>
      </c>
      <c r="CW20" s="163">
        <v>-442024149</v>
      </c>
      <c r="CX20" s="163">
        <v>2805</v>
      </c>
      <c r="CY20" s="163">
        <v>105934462501.34999</v>
      </c>
      <c r="CZ20" s="163">
        <v>123894433033</v>
      </c>
      <c r="DA20" s="163">
        <v>1328</v>
      </c>
      <c r="DB20" s="163">
        <v>108169435734.19</v>
      </c>
      <c r="DC20" s="163">
        <v>124336457182</v>
      </c>
      <c r="DD20" s="163">
        <v>1477</v>
      </c>
    </row>
    <row r="21" spans="1:108" x14ac:dyDescent="0.25">
      <c r="J21" s="100" t="str">
        <f t="shared" ref="J21:J22" si="3">K21&amp;L21</f>
        <v>PBuy</v>
      </c>
      <c r="K21" s="138" t="s">
        <v>529</v>
      </c>
      <c r="L21" s="138" t="s">
        <v>528</v>
      </c>
      <c r="M21" s="142">
        <v>182490896428.88998</v>
      </c>
      <c r="S21" s="138"/>
      <c r="T21" s="148"/>
      <c r="U21" s="148"/>
      <c r="V21" s="148"/>
      <c r="W21" s="148"/>
      <c r="X21" s="148"/>
      <c r="Z21" s="138" t="s">
        <v>653</v>
      </c>
      <c r="AA21" s="138">
        <v>0</v>
      </c>
      <c r="AB21" s="138">
        <v>0</v>
      </c>
      <c r="AC21" s="138">
        <v>0</v>
      </c>
      <c r="AD21" s="138">
        <v>0</v>
      </c>
      <c r="AE21" s="138">
        <v>0</v>
      </c>
      <c r="AF21" s="138"/>
      <c r="AG21" s="138" t="s">
        <v>653</v>
      </c>
      <c r="AH21" s="138">
        <v>0</v>
      </c>
      <c r="AI21" s="138">
        <v>0</v>
      </c>
      <c r="AJ21" s="138">
        <v>0</v>
      </c>
      <c r="AK21" s="138">
        <v>0</v>
      </c>
      <c r="AL21" s="138">
        <v>0</v>
      </c>
      <c r="AN21" s="138" t="s">
        <v>653</v>
      </c>
      <c r="AO21" s="138">
        <v>0</v>
      </c>
      <c r="AP21" s="138">
        <v>0</v>
      </c>
      <c r="AQ21" s="138">
        <v>0</v>
      </c>
      <c r="AR21" s="138">
        <v>0</v>
      </c>
      <c r="AS21" s="138">
        <v>0</v>
      </c>
      <c r="AU21" s="138" t="s">
        <v>653</v>
      </c>
      <c r="AV21" s="138">
        <v>0</v>
      </c>
      <c r="AW21" s="138">
        <v>0</v>
      </c>
      <c r="AX21" s="138">
        <v>0</v>
      </c>
      <c r="AY21" s="138">
        <v>0</v>
      </c>
      <c r="AZ21" s="138">
        <v>0</v>
      </c>
      <c r="BB21" s="138" t="s">
        <v>653</v>
      </c>
      <c r="BC21" s="138">
        <v>0</v>
      </c>
      <c r="BD21" s="138">
        <v>0</v>
      </c>
      <c r="BE21" s="138">
        <v>0</v>
      </c>
      <c r="BF21" s="138">
        <v>0</v>
      </c>
      <c r="BG21" s="138">
        <v>0</v>
      </c>
      <c r="BH21" t="s">
        <v>653</v>
      </c>
      <c r="BI21" s="138">
        <v>0</v>
      </c>
      <c r="BJ21" s="138">
        <v>0</v>
      </c>
      <c r="BK21" s="138">
        <v>0</v>
      </c>
      <c r="BL21" s="138">
        <v>0</v>
      </c>
      <c r="BM21" s="138">
        <v>0</v>
      </c>
      <c r="BN21" s="138"/>
      <c r="BP21" s="152"/>
      <c r="BQ21" s="152"/>
      <c r="BR21" s="152"/>
      <c r="BT21" s="154"/>
      <c r="BU21" s="154"/>
      <c r="BV21" s="154"/>
      <c r="BW21" s="154"/>
      <c r="BX21" s="154"/>
      <c r="BY21" s="154"/>
      <c r="BZ21" s="154"/>
      <c r="CA21" s="154"/>
      <c r="CB21" s="154"/>
      <c r="CD21" s="217">
        <v>4887355344874082</v>
      </c>
      <c r="CE21" s="218">
        <v>5603854609029.335</v>
      </c>
      <c r="CS21" s="165" t="s">
        <v>712</v>
      </c>
      <c r="CT21" s="163">
        <v>18</v>
      </c>
      <c r="CU21" s="163" t="s">
        <v>710</v>
      </c>
      <c r="CV21" s="163">
        <v>-7295758821.5900002</v>
      </c>
      <c r="CW21" s="163">
        <v>-9158179782</v>
      </c>
      <c r="CX21" s="163">
        <v>95</v>
      </c>
      <c r="CY21" s="163">
        <v>6298988473.1500006</v>
      </c>
      <c r="CZ21" s="163">
        <v>7496545451</v>
      </c>
      <c r="DA21" s="163">
        <v>25</v>
      </c>
      <c r="DB21" s="163">
        <v>13594747294.740002</v>
      </c>
      <c r="DC21" s="163">
        <v>16654725233</v>
      </c>
      <c r="DD21" s="163">
        <v>70</v>
      </c>
    </row>
    <row r="22" spans="1:108" x14ac:dyDescent="0.25">
      <c r="J22" s="100" t="str">
        <f t="shared" si="3"/>
        <v>ASell</v>
      </c>
      <c r="K22" s="138" t="s">
        <v>527</v>
      </c>
      <c r="L22" s="138" t="s">
        <v>530</v>
      </c>
      <c r="M22" s="142">
        <v>152608012851.78</v>
      </c>
      <c r="S22" s="138"/>
      <c r="T22" s="148"/>
      <c r="U22" s="148"/>
      <c r="V22" s="148"/>
      <c r="W22" s="148"/>
      <c r="X22" s="148"/>
      <c r="Z22" s="138" t="s">
        <v>654</v>
      </c>
      <c r="AA22" s="138">
        <v>0</v>
      </c>
      <c r="AB22" s="138">
        <v>0</v>
      </c>
      <c r="AC22" s="138">
        <v>0</v>
      </c>
      <c r="AD22" s="138">
        <v>0</v>
      </c>
      <c r="AE22" s="138">
        <v>0</v>
      </c>
      <c r="AF22" s="138"/>
      <c r="AG22" s="138" t="s">
        <v>654</v>
      </c>
      <c r="AH22" s="138">
        <v>0</v>
      </c>
      <c r="AI22" s="138">
        <v>0</v>
      </c>
      <c r="AJ22" s="138">
        <v>0</v>
      </c>
      <c r="AK22" s="138">
        <v>0</v>
      </c>
      <c r="AL22" s="138">
        <v>0</v>
      </c>
      <c r="AN22" s="138" t="s">
        <v>654</v>
      </c>
      <c r="AO22" s="138">
        <v>0</v>
      </c>
      <c r="AP22" s="138">
        <v>0</v>
      </c>
      <c r="AQ22" s="138">
        <v>0</v>
      </c>
      <c r="AR22" s="138">
        <v>0</v>
      </c>
      <c r="AS22" s="138">
        <v>0</v>
      </c>
      <c r="AU22" s="138" t="s">
        <v>654</v>
      </c>
      <c r="AV22" s="138">
        <v>0</v>
      </c>
      <c r="AW22" s="138">
        <v>0</v>
      </c>
      <c r="AX22" s="138">
        <v>0</v>
      </c>
      <c r="AY22" s="138">
        <v>0</v>
      </c>
      <c r="AZ22" s="138">
        <v>0</v>
      </c>
      <c r="BB22" s="138" t="s">
        <v>654</v>
      </c>
      <c r="BC22" s="138">
        <v>0</v>
      </c>
      <c r="BD22" s="138">
        <v>0</v>
      </c>
      <c r="BE22" s="138">
        <v>0</v>
      </c>
      <c r="BF22" s="138">
        <v>0</v>
      </c>
      <c r="BG22" s="138">
        <v>0</v>
      </c>
      <c r="BH22" t="s">
        <v>654</v>
      </c>
      <c r="BI22" s="138">
        <v>0</v>
      </c>
      <c r="BJ22" s="138">
        <v>0</v>
      </c>
      <c r="BK22" s="138">
        <v>0</v>
      </c>
      <c r="BL22" s="138">
        <v>0</v>
      </c>
      <c r="BM22" s="138">
        <v>0</v>
      </c>
      <c r="BN22" s="138"/>
      <c r="BO22" s="102" t="s">
        <v>450</v>
      </c>
      <c r="BP22" s="153" t="s">
        <v>523</v>
      </c>
      <c r="BQ22" s="153" t="s">
        <v>630</v>
      </c>
      <c r="BR22" s="153" t="s">
        <v>631</v>
      </c>
      <c r="BU22" s="154"/>
    </row>
    <row r="23" spans="1:108" x14ac:dyDescent="0.25">
      <c r="A23" s="102" t="s">
        <v>179</v>
      </c>
      <c r="B23" s="119" t="s">
        <v>199</v>
      </c>
      <c r="C23" s="120" t="s">
        <v>200</v>
      </c>
      <c r="D23" s="119" t="s">
        <v>201</v>
      </c>
      <c r="E23" s="139" t="s">
        <v>616</v>
      </c>
      <c r="F23" s="102" t="s">
        <v>417</v>
      </c>
      <c r="G23" s="139" t="s">
        <v>199</v>
      </c>
      <c r="H23" s="139" t="s">
        <v>531</v>
      </c>
      <c r="I23" s="104"/>
      <c r="J23" s="100" t="str">
        <f>K23&amp;L23</f>
        <v>PSell</v>
      </c>
      <c r="K23" s="138" t="s">
        <v>529</v>
      </c>
      <c r="L23" s="138" t="s">
        <v>530</v>
      </c>
      <c r="M23" s="142">
        <v>182500613280.28</v>
      </c>
      <c r="N23" s="102" t="s">
        <v>418</v>
      </c>
      <c r="O23" s="139" t="s">
        <v>199</v>
      </c>
      <c r="P23" s="139" t="s">
        <v>531</v>
      </c>
      <c r="S23" s="138"/>
      <c r="T23" s="148"/>
      <c r="U23" s="148"/>
      <c r="V23" s="148"/>
      <c r="W23" s="148"/>
      <c r="X23" s="148"/>
      <c r="Z23" s="138" t="s">
        <v>655</v>
      </c>
      <c r="AA23" s="138">
        <v>0</v>
      </c>
      <c r="AB23" s="138">
        <v>0</v>
      </c>
      <c r="AC23" s="138">
        <v>0</v>
      </c>
      <c r="AD23" s="138">
        <v>0</v>
      </c>
      <c r="AE23" s="138">
        <v>0</v>
      </c>
      <c r="AF23" s="138"/>
      <c r="AG23" s="138" t="s">
        <v>655</v>
      </c>
      <c r="AH23" s="138">
        <v>0</v>
      </c>
      <c r="AI23" s="138">
        <v>0</v>
      </c>
      <c r="AJ23" s="138">
        <v>0</v>
      </c>
      <c r="AK23" s="138">
        <v>0</v>
      </c>
      <c r="AL23" s="138">
        <v>0</v>
      </c>
      <c r="AN23" s="138" t="s">
        <v>655</v>
      </c>
      <c r="AO23" s="138">
        <v>0</v>
      </c>
      <c r="AP23" s="138">
        <v>0</v>
      </c>
      <c r="AQ23" s="138">
        <v>0</v>
      </c>
      <c r="AR23" s="138">
        <v>0</v>
      </c>
      <c r="AS23" s="138">
        <v>0</v>
      </c>
      <c r="AU23" s="138" t="s">
        <v>655</v>
      </c>
      <c r="AV23" s="138">
        <v>0</v>
      </c>
      <c r="AW23" s="138">
        <v>0</v>
      </c>
      <c r="AX23" s="138">
        <v>0</v>
      </c>
      <c r="AY23" s="138">
        <v>0</v>
      </c>
      <c r="AZ23" s="138">
        <v>0</v>
      </c>
      <c r="BB23" s="138" t="s">
        <v>655</v>
      </c>
      <c r="BC23" s="138">
        <v>0</v>
      </c>
      <c r="BD23" s="138">
        <v>0</v>
      </c>
      <c r="BE23" s="138">
        <v>0</v>
      </c>
      <c r="BF23" s="138">
        <v>0</v>
      </c>
      <c r="BG23" s="138">
        <v>0</v>
      </c>
      <c r="BH23" t="s">
        <v>655</v>
      </c>
      <c r="BI23" s="138">
        <v>0</v>
      </c>
      <c r="BJ23" s="138">
        <v>0</v>
      </c>
      <c r="BK23" s="138">
        <v>0</v>
      </c>
      <c r="BL23" s="138">
        <v>0</v>
      </c>
      <c r="BM23" s="138">
        <v>0</v>
      </c>
      <c r="BN23" s="138"/>
      <c r="BP23" s="152">
        <v>216385369.5</v>
      </c>
      <c r="BQ23" s="152">
        <v>160046</v>
      </c>
      <c r="BR23" s="152">
        <v>325</v>
      </c>
    </row>
    <row r="24" spans="1:108" x14ac:dyDescent="0.25">
      <c r="B24" s="118" t="s">
        <v>205</v>
      </c>
      <c r="C24" s="121">
        <v>38628</v>
      </c>
      <c r="D24" s="118">
        <v>10207.67</v>
      </c>
      <c r="E24" s="138">
        <v>1</v>
      </c>
      <c r="G24" s="138" t="s">
        <v>244</v>
      </c>
      <c r="H24" s="138">
        <v>18553.898985610002</v>
      </c>
      <c r="I24" s="103"/>
      <c r="K24" s="43"/>
      <c r="M24"/>
      <c r="O24" s="138" t="s">
        <v>244</v>
      </c>
      <c r="P24" s="138">
        <v>19518.38644233</v>
      </c>
      <c r="S24" s="138"/>
      <c r="T24" s="148"/>
      <c r="U24" s="148"/>
      <c r="V24" s="148"/>
      <c r="W24" s="148"/>
      <c r="X24" s="148"/>
      <c r="Z24" s="138" t="s">
        <v>656</v>
      </c>
      <c r="AA24" s="138">
        <v>0</v>
      </c>
      <c r="AB24" s="138">
        <v>0</v>
      </c>
      <c r="AC24" s="138">
        <v>0</v>
      </c>
      <c r="AD24" s="138">
        <v>0</v>
      </c>
      <c r="AE24" s="138">
        <v>0</v>
      </c>
      <c r="AF24" s="138"/>
      <c r="AG24" s="138" t="s">
        <v>656</v>
      </c>
      <c r="AH24" s="138">
        <v>0</v>
      </c>
      <c r="AI24" s="138">
        <v>0</v>
      </c>
      <c r="AJ24" s="138">
        <v>0</v>
      </c>
      <c r="AK24" s="138">
        <v>0</v>
      </c>
      <c r="AL24" s="138">
        <v>0</v>
      </c>
      <c r="AN24" s="138" t="s">
        <v>656</v>
      </c>
      <c r="AO24" s="138">
        <v>0</v>
      </c>
      <c r="AP24" s="138">
        <v>0</v>
      </c>
      <c r="AQ24" s="138">
        <v>0</v>
      </c>
      <c r="AR24" s="138">
        <v>0</v>
      </c>
      <c r="AS24" s="138">
        <v>0</v>
      </c>
      <c r="AU24" s="138" t="s">
        <v>656</v>
      </c>
      <c r="AV24" s="138">
        <v>0</v>
      </c>
      <c r="AW24" s="138">
        <v>0</v>
      </c>
      <c r="AX24" s="138">
        <v>0</v>
      </c>
      <c r="AY24" s="138">
        <v>0</v>
      </c>
      <c r="AZ24" s="138">
        <v>0</v>
      </c>
      <c r="BB24" s="138" t="s">
        <v>670</v>
      </c>
      <c r="BC24" s="138">
        <v>5660200</v>
      </c>
      <c r="BD24" s="138">
        <v>478</v>
      </c>
      <c r="BE24" s="138">
        <v>3</v>
      </c>
      <c r="BF24" s="138">
        <v>3684</v>
      </c>
      <c r="BG24" s="138">
        <v>0</v>
      </c>
      <c r="BH24" t="s">
        <v>670</v>
      </c>
      <c r="BI24" s="138">
        <v>0</v>
      </c>
      <c r="BJ24" s="138">
        <v>0</v>
      </c>
      <c r="BK24" s="138">
        <v>0</v>
      </c>
      <c r="BL24" s="138">
        <v>478</v>
      </c>
      <c r="BM24" s="138">
        <v>0</v>
      </c>
      <c r="BN24" s="138"/>
      <c r="BP24" s="152"/>
      <c r="BQ24" s="152"/>
      <c r="BR24" s="152"/>
    </row>
    <row r="25" spans="1:108" x14ac:dyDescent="0.25">
      <c r="B25" s="118" t="s">
        <v>207</v>
      </c>
      <c r="C25" s="121">
        <v>38716</v>
      </c>
      <c r="D25" s="118">
        <v>10070.700000000001</v>
      </c>
      <c r="E25" s="138">
        <v>1</v>
      </c>
      <c r="G25" s="138" t="s">
        <v>245</v>
      </c>
      <c r="H25" s="138">
        <v>12632.44975181</v>
      </c>
      <c r="I25" s="103"/>
      <c r="K25" s="43"/>
      <c r="M25"/>
      <c r="O25" s="138" t="s">
        <v>245</v>
      </c>
      <c r="P25" s="138">
        <v>13471.39933738</v>
      </c>
      <c r="S25" s="138"/>
      <c r="T25" s="148"/>
      <c r="U25" s="148"/>
      <c r="V25" s="148"/>
      <c r="W25" s="148"/>
      <c r="X25" s="148"/>
      <c r="Z25" s="138" t="s">
        <v>657</v>
      </c>
      <c r="AA25" s="138">
        <v>0</v>
      </c>
      <c r="AB25" s="138">
        <v>0</v>
      </c>
      <c r="AC25" s="138">
        <v>0</v>
      </c>
      <c r="AD25" s="138">
        <v>0</v>
      </c>
      <c r="AE25" s="138">
        <v>0</v>
      </c>
      <c r="AF25" s="138"/>
      <c r="AG25" s="138" t="s">
        <v>657</v>
      </c>
      <c r="AH25" s="138">
        <v>0</v>
      </c>
      <c r="AI25" s="138">
        <v>0</v>
      </c>
      <c r="AJ25" s="138">
        <v>0</v>
      </c>
      <c r="AK25" s="138">
        <v>0</v>
      </c>
      <c r="AL25" s="138">
        <v>0</v>
      </c>
      <c r="AN25" s="138" t="s">
        <v>657</v>
      </c>
      <c r="AO25" s="138">
        <v>0</v>
      </c>
      <c r="AP25" s="138">
        <v>0</v>
      </c>
      <c r="AQ25" s="138">
        <v>0</v>
      </c>
      <c r="AR25" s="138">
        <v>0</v>
      </c>
      <c r="AS25" s="138">
        <v>0</v>
      </c>
      <c r="AU25" s="138" t="s">
        <v>657</v>
      </c>
      <c r="AV25" s="138">
        <v>0</v>
      </c>
      <c r="AW25" s="138">
        <v>0</v>
      </c>
      <c r="AX25" s="138">
        <v>0</v>
      </c>
      <c r="AY25" s="138">
        <v>0</v>
      </c>
      <c r="AZ25" s="138">
        <v>0</v>
      </c>
      <c r="BB25" s="138" t="s">
        <v>671</v>
      </c>
      <c r="BC25" s="138">
        <v>0</v>
      </c>
      <c r="BD25" s="138">
        <v>0</v>
      </c>
      <c r="BE25" s="138">
        <v>0</v>
      </c>
      <c r="BF25" s="138">
        <v>0</v>
      </c>
      <c r="BG25" s="138">
        <v>0</v>
      </c>
      <c r="BH25" t="s">
        <v>671</v>
      </c>
      <c r="BI25" s="138">
        <v>0</v>
      </c>
      <c r="BJ25" s="138">
        <v>0</v>
      </c>
      <c r="BK25" s="138">
        <v>0</v>
      </c>
      <c r="BL25" s="138">
        <v>0</v>
      </c>
      <c r="BM25" s="138">
        <v>0</v>
      </c>
      <c r="BN25" s="138"/>
      <c r="BO25" s="102" t="s">
        <v>453</v>
      </c>
      <c r="BP25" s="153" t="s">
        <v>632</v>
      </c>
      <c r="BQ25" s="152"/>
      <c r="BR25" s="152"/>
      <c r="BU25" s="152"/>
    </row>
    <row r="26" spans="1:108" x14ac:dyDescent="0.25">
      <c r="B26" s="118" t="s">
        <v>210</v>
      </c>
      <c r="C26" s="121">
        <v>38425</v>
      </c>
      <c r="D26" s="118">
        <v>14581.36</v>
      </c>
      <c r="E26" s="138">
        <v>1</v>
      </c>
      <c r="G26" s="138" t="s">
        <v>247</v>
      </c>
      <c r="H26" s="138">
        <v>4008.8381538899998</v>
      </c>
      <c r="I26" s="103"/>
      <c r="K26" s="26"/>
      <c r="M26"/>
      <c r="O26" s="138" t="s">
        <v>247</v>
      </c>
      <c r="P26" s="138">
        <v>4119.7166405600001</v>
      </c>
      <c r="S26" s="138"/>
      <c r="T26" s="148"/>
      <c r="U26" s="148"/>
      <c r="V26" s="148"/>
      <c r="W26" s="148"/>
      <c r="X26" s="148"/>
      <c r="Z26" s="138" t="s">
        <v>658</v>
      </c>
      <c r="AA26" s="138">
        <v>0</v>
      </c>
      <c r="AB26" s="138">
        <v>0</v>
      </c>
      <c r="AC26" s="138">
        <v>0</v>
      </c>
      <c r="AD26" s="138">
        <v>0</v>
      </c>
      <c r="AE26" s="138">
        <v>0</v>
      </c>
      <c r="AF26" s="138"/>
      <c r="AG26" s="138" t="s">
        <v>658</v>
      </c>
      <c r="AH26" s="138">
        <v>0</v>
      </c>
      <c r="AI26" s="138">
        <v>0</v>
      </c>
      <c r="AJ26" s="138">
        <v>0</v>
      </c>
      <c r="AK26" s="138">
        <v>0</v>
      </c>
      <c r="AL26" s="138">
        <v>0</v>
      </c>
      <c r="AN26" s="138" t="s">
        <v>658</v>
      </c>
      <c r="AO26" s="138">
        <v>0</v>
      </c>
      <c r="AP26" s="138">
        <v>0</v>
      </c>
      <c r="AQ26" s="138">
        <v>0</v>
      </c>
      <c r="AR26" s="138">
        <v>0</v>
      </c>
      <c r="AS26" s="138">
        <v>0</v>
      </c>
      <c r="AU26" s="138" t="s">
        <v>658</v>
      </c>
      <c r="AV26" s="138">
        <v>0</v>
      </c>
      <c r="AW26" s="138">
        <v>0</v>
      </c>
      <c r="AX26" s="138">
        <v>0</v>
      </c>
      <c r="AY26" s="138">
        <v>0</v>
      </c>
      <c r="AZ26" s="138">
        <v>0</v>
      </c>
      <c r="BB26" s="138" t="s">
        <v>672</v>
      </c>
      <c r="BC26" s="138">
        <v>0</v>
      </c>
      <c r="BD26" s="138">
        <v>0</v>
      </c>
      <c r="BE26" s="138">
        <v>0</v>
      </c>
      <c r="BF26" s="138">
        <v>0</v>
      </c>
      <c r="BG26" s="138">
        <v>0</v>
      </c>
      <c r="BH26" t="s">
        <v>672</v>
      </c>
      <c r="BI26" s="138">
        <v>0</v>
      </c>
      <c r="BJ26" s="138">
        <v>0</v>
      </c>
      <c r="BK26" s="138">
        <v>0</v>
      </c>
      <c r="BL26" s="138">
        <v>0</v>
      </c>
      <c r="BM26" s="138">
        <v>0</v>
      </c>
      <c r="BN26" s="138"/>
      <c r="BP26" s="152">
        <v>1272650</v>
      </c>
      <c r="BQ26" s="152"/>
      <c r="BR26" s="152"/>
    </row>
    <row r="27" spans="1:108" x14ac:dyDescent="0.25">
      <c r="B27" s="118" t="s">
        <v>213</v>
      </c>
      <c r="C27" s="121">
        <v>38680</v>
      </c>
      <c r="D27" s="118">
        <v>18105.080000000002</v>
      </c>
      <c r="E27" s="138">
        <v>1</v>
      </c>
      <c r="G27" s="138" t="s">
        <v>248</v>
      </c>
      <c r="H27" s="138">
        <v>4099.7449001200002</v>
      </c>
      <c r="I27" s="103"/>
      <c r="K27" s="43"/>
      <c r="M27"/>
      <c r="O27" s="138" t="s">
        <v>248</v>
      </c>
      <c r="P27" s="138">
        <v>4220.3554506800001</v>
      </c>
      <c r="S27" s="138"/>
      <c r="T27" s="148"/>
      <c r="U27" s="148"/>
      <c r="V27" s="148"/>
      <c r="W27" s="148"/>
      <c r="X27" s="148"/>
      <c r="Z27" s="138" t="s">
        <v>659</v>
      </c>
      <c r="AA27" s="138">
        <v>0</v>
      </c>
      <c r="AB27" s="138">
        <v>0</v>
      </c>
      <c r="AC27" s="138">
        <v>0</v>
      </c>
      <c r="AD27" s="138">
        <v>0</v>
      </c>
      <c r="AE27" s="138">
        <v>0</v>
      </c>
      <c r="AF27" s="138"/>
      <c r="AG27" s="138" t="s">
        <v>659</v>
      </c>
      <c r="AH27" s="138">
        <v>0</v>
      </c>
      <c r="AI27" s="138">
        <v>0</v>
      </c>
      <c r="AJ27" s="138">
        <v>0</v>
      </c>
      <c r="AK27" s="138">
        <v>0</v>
      </c>
      <c r="AL27" s="138">
        <v>0</v>
      </c>
      <c r="AN27" s="138" t="s">
        <v>659</v>
      </c>
      <c r="AO27" s="138">
        <v>0</v>
      </c>
      <c r="AP27" s="138">
        <v>0</v>
      </c>
      <c r="AQ27" s="138">
        <v>0</v>
      </c>
      <c r="AR27" s="138">
        <v>0</v>
      </c>
      <c r="AS27" s="138">
        <v>0</v>
      </c>
      <c r="AU27" s="138" t="s">
        <v>659</v>
      </c>
      <c r="AV27" s="138">
        <v>0</v>
      </c>
      <c r="AW27" s="138">
        <v>0</v>
      </c>
      <c r="AX27" s="138">
        <v>0</v>
      </c>
      <c r="AY27" s="138">
        <v>0</v>
      </c>
      <c r="AZ27" s="138">
        <v>0</v>
      </c>
      <c r="BB27" s="138" t="s">
        <v>656</v>
      </c>
      <c r="BC27" s="138">
        <v>0</v>
      </c>
      <c r="BD27" s="138">
        <v>0</v>
      </c>
      <c r="BE27" s="138">
        <v>0</v>
      </c>
      <c r="BF27" s="138">
        <v>0</v>
      </c>
      <c r="BG27" s="138">
        <v>0</v>
      </c>
      <c r="BH27" t="s">
        <v>656</v>
      </c>
      <c r="BI27" s="138">
        <v>0</v>
      </c>
      <c r="BJ27" s="138">
        <v>0</v>
      </c>
      <c r="BK27" s="138">
        <v>0</v>
      </c>
      <c r="BL27" s="138">
        <v>0</v>
      </c>
      <c r="BM27" s="138">
        <v>0</v>
      </c>
      <c r="BN27" s="138"/>
      <c r="BP27" s="152"/>
      <c r="BQ27" s="152"/>
      <c r="BR27" s="152"/>
      <c r="CR27" s="156" t="s">
        <v>487</v>
      </c>
      <c r="CS27" s="164" t="s">
        <v>692</v>
      </c>
      <c r="CT27" s="163" t="s">
        <v>693</v>
      </c>
      <c r="CU27" s="163" t="s">
        <v>694</v>
      </c>
      <c r="CV27" s="163" t="s">
        <v>695</v>
      </c>
      <c r="CW27" s="163" t="s">
        <v>696</v>
      </c>
      <c r="CX27" s="163" t="s">
        <v>697</v>
      </c>
      <c r="CY27" s="163" t="s">
        <v>698</v>
      </c>
      <c r="CZ27" s="163" t="s">
        <v>699</v>
      </c>
      <c r="DA27" s="163" t="s">
        <v>700</v>
      </c>
      <c r="DB27" s="163" t="s">
        <v>701</v>
      </c>
      <c r="DC27" s="163" t="s">
        <v>702</v>
      </c>
      <c r="DD27" s="163" t="s">
        <v>703</v>
      </c>
    </row>
    <row r="28" spans="1:108" ht="14.4" x14ac:dyDescent="0.3">
      <c r="B28" s="118" t="s">
        <v>222</v>
      </c>
      <c r="C28" s="121">
        <v>38615</v>
      </c>
      <c r="D28" s="118">
        <v>4728.4799999999996</v>
      </c>
      <c r="E28" s="138">
        <v>1</v>
      </c>
      <c r="G28" s="138" t="s">
        <v>88</v>
      </c>
      <c r="H28" s="138">
        <v>4592.8196639199996</v>
      </c>
      <c r="I28" s="103"/>
      <c r="K28" s="43"/>
      <c r="L28" s="48"/>
      <c r="M28" s="140"/>
      <c r="O28" s="138" t="s">
        <v>88</v>
      </c>
      <c r="P28" s="138">
        <v>4748.7288931000003</v>
      </c>
      <c r="Z28" s="138" t="s">
        <v>660</v>
      </c>
      <c r="AA28" s="138">
        <v>21462860.260000002</v>
      </c>
      <c r="AB28" s="138">
        <v>1751</v>
      </c>
      <c r="AC28" s="138">
        <v>158</v>
      </c>
      <c r="AD28" s="138">
        <v>44537</v>
      </c>
      <c r="AE28" s="138">
        <v>0</v>
      </c>
      <c r="AF28" s="138"/>
      <c r="AG28" s="138" t="s">
        <v>660</v>
      </c>
      <c r="AH28" s="138">
        <v>822700</v>
      </c>
      <c r="AI28" s="138">
        <v>61</v>
      </c>
      <c r="AJ28" s="138">
        <v>4</v>
      </c>
      <c r="AK28" s="138">
        <v>2508</v>
      </c>
      <c r="AL28" s="138">
        <v>0</v>
      </c>
      <c r="AN28" s="138" t="s">
        <v>660</v>
      </c>
      <c r="AO28" s="138">
        <v>29752436.870000001</v>
      </c>
      <c r="AP28" s="138">
        <v>2129</v>
      </c>
      <c r="AQ28" s="138">
        <v>92</v>
      </c>
      <c r="AR28" s="138">
        <v>64947</v>
      </c>
      <c r="AS28" s="138">
        <v>0</v>
      </c>
      <c r="AU28" s="138" t="s">
        <v>660</v>
      </c>
      <c r="AV28" s="138">
        <v>22300</v>
      </c>
      <c r="AW28" s="138">
        <v>1</v>
      </c>
      <c r="AX28" s="138">
        <v>1</v>
      </c>
      <c r="AY28" s="138">
        <v>1446</v>
      </c>
      <c r="AZ28" s="138">
        <v>0</v>
      </c>
      <c r="BB28" s="138" t="s">
        <v>657</v>
      </c>
      <c r="BC28" s="138">
        <v>0</v>
      </c>
      <c r="BD28" s="138">
        <v>0</v>
      </c>
      <c r="BE28" s="138">
        <v>0</v>
      </c>
      <c r="BF28" s="138">
        <v>0</v>
      </c>
      <c r="BG28" s="138">
        <v>0</v>
      </c>
      <c r="BH28" t="s">
        <v>657</v>
      </c>
      <c r="BI28" s="138">
        <v>0</v>
      </c>
      <c r="BJ28" s="138">
        <v>0</v>
      </c>
      <c r="BK28" s="138">
        <v>0</v>
      </c>
      <c r="BL28" s="138">
        <v>0</v>
      </c>
      <c r="BM28" s="138">
        <v>0</v>
      </c>
      <c r="BN28" s="138"/>
      <c r="BO28" s="102" t="s">
        <v>454</v>
      </c>
      <c r="BP28" s="153" t="s">
        <v>632</v>
      </c>
      <c r="BQ28" s="152"/>
      <c r="BR28" s="152"/>
      <c r="CS28" s="165">
        <v>2022</v>
      </c>
      <c r="CT28" s="163">
        <v>26</v>
      </c>
      <c r="CU28" s="163" t="s">
        <v>704</v>
      </c>
      <c r="CV28" s="163">
        <v>0</v>
      </c>
      <c r="CW28" s="163">
        <v>22746598171</v>
      </c>
      <c r="CX28" s="163">
        <v>2177</v>
      </c>
      <c r="CY28" s="163">
        <v>0</v>
      </c>
      <c r="CZ28" s="163">
        <v>131250841054</v>
      </c>
      <c r="DA28" s="163">
        <v>1184</v>
      </c>
      <c r="DB28" s="163">
        <v>0</v>
      </c>
      <c r="DC28" s="163">
        <v>108504242883</v>
      </c>
      <c r="DD28" s="163">
        <v>993</v>
      </c>
    </row>
    <row r="29" spans="1:108" x14ac:dyDescent="0.25">
      <c r="B29" s="118" t="s">
        <v>227</v>
      </c>
      <c r="C29" s="121">
        <v>44221</v>
      </c>
      <c r="D29" s="118">
        <v>143155.42628878</v>
      </c>
      <c r="E29" s="138">
        <v>1</v>
      </c>
      <c r="G29" s="138" t="s">
        <v>55</v>
      </c>
      <c r="H29" s="138">
        <v>69997.839210759994</v>
      </c>
      <c r="I29" s="103"/>
      <c r="K29" s="43"/>
      <c r="M29"/>
      <c r="O29" s="138" t="s">
        <v>55</v>
      </c>
      <c r="P29" s="138">
        <v>72582.818348679997</v>
      </c>
      <c r="Z29" s="138" t="s">
        <v>661</v>
      </c>
      <c r="AA29" s="138">
        <v>0</v>
      </c>
      <c r="AB29" s="138">
        <v>0</v>
      </c>
      <c r="AC29" s="138">
        <v>0</v>
      </c>
      <c r="AD29" s="138">
        <v>0</v>
      </c>
      <c r="AE29" s="138">
        <v>0</v>
      </c>
      <c r="AF29" s="138"/>
      <c r="AG29" s="138" t="s">
        <v>661</v>
      </c>
      <c r="AH29" s="138">
        <v>0</v>
      </c>
      <c r="AI29" s="138">
        <v>0</v>
      </c>
      <c r="AJ29" s="138">
        <v>0</v>
      </c>
      <c r="AK29" s="138">
        <v>0</v>
      </c>
      <c r="AL29" s="138">
        <v>0</v>
      </c>
      <c r="AN29" s="138" t="s">
        <v>661</v>
      </c>
      <c r="AO29" s="138">
        <v>0</v>
      </c>
      <c r="AP29" s="138">
        <v>0</v>
      </c>
      <c r="AQ29" s="138">
        <v>0</v>
      </c>
      <c r="AR29" s="138">
        <v>0</v>
      </c>
      <c r="AS29" s="138">
        <v>0</v>
      </c>
      <c r="AU29" s="138" t="s">
        <v>661</v>
      </c>
      <c r="AV29" s="138">
        <v>0</v>
      </c>
      <c r="AW29" s="138">
        <v>0</v>
      </c>
      <c r="AX29" s="138">
        <v>0</v>
      </c>
      <c r="AY29" s="138">
        <v>0</v>
      </c>
      <c r="AZ29" s="138">
        <v>0</v>
      </c>
      <c r="BB29" s="138" t="s">
        <v>658</v>
      </c>
      <c r="BC29" s="138">
        <v>0</v>
      </c>
      <c r="BD29" s="138">
        <v>0</v>
      </c>
      <c r="BE29" s="138">
        <v>0</v>
      </c>
      <c r="BF29" s="138">
        <v>0</v>
      </c>
      <c r="BG29" s="138">
        <v>0</v>
      </c>
      <c r="BH29" t="s">
        <v>658</v>
      </c>
      <c r="BI29" s="138">
        <v>0</v>
      </c>
      <c r="BJ29" s="138">
        <v>0</v>
      </c>
      <c r="BK29" s="138">
        <v>0</v>
      </c>
      <c r="BL29" s="138">
        <v>0</v>
      </c>
      <c r="BM29" s="138">
        <v>0</v>
      </c>
      <c r="BN29" s="138"/>
      <c r="BP29" s="152">
        <v>153947</v>
      </c>
      <c r="BQ29" s="152"/>
      <c r="BR29" s="152"/>
      <c r="CS29" s="165">
        <v>2022</v>
      </c>
      <c r="CT29" s="163">
        <v>23</v>
      </c>
      <c r="CU29" s="163" t="s">
        <v>706</v>
      </c>
      <c r="CV29" s="163">
        <v>-356473820757.87988</v>
      </c>
      <c r="CW29" s="163">
        <v>-359693330567</v>
      </c>
      <c r="CX29" s="163">
        <v>3279</v>
      </c>
      <c r="CY29" s="163">
        <v>204069000162.17001</v>
      </c>
      <c r="CZ29" s="163">
        <v>224311879497</v>
      </c>
      <c r="DA29" s="163">
        <v>1279</v>
      </c>
      <c r="DB29" s="163">
        <v>560542820920.04993</v>
      </c>
      <c r="DC29" s="163">
        <v>584005210064</v>
      </c>
      <c r="DD29" s="163">
        <v>2000</v>
      </c>
    </row>
    <row r="30" spans="1:108" x14ac:dyDescent="0.25">
      <c r="B30" s="118" t="s">
        <v>231</v>
      </c>
      <c r="C30" s="121">
        <v>38716</v>
      </c>
      <c r="D30" s="118">
        <v>14859.1</v>
      </c>
      <c r="E30" s="138">
        <v>1</v>
      </c>
      <c r="G30" s="138" t="s">
        <v>44</v>
      </c>
      <c r="H30" s="138">
        <v>71517.541400300004</v>
      </c>
      <c r="I30" s="103"/>
      <c r="K30" s="43"/>
      <c r="M30"/>
      <c r="O30" s="138" t="s">
        <v>44</v>
      </c>
      <c r="P30" s="138">
        <v>77739.1549237</v>
      </c>
      <c r="S30" s="139"/>
      <c r="T30" s="147"/>
      <c r="U30" s="147"/>
      <c r="V30" s="147"/>
      <c r="W30" s="147"/>
      <c r="X30" s="147"/>
      <c r="Z30" s="138" t="s">
        <v>662</v>
      </c>
      <c r="AA30" s="138">
        <v>0</v>
      </c>
      <c r="AB30" s="138">
        <v>0</v>
      </c>
      <c r="AC30" s="138">
        <v>0</v>
      </c>
      <c r="AD30" s="138">
        <v>0</v>
      </c>
      <c r="AE30" s="138">
        <v>0</v>
      </c>
      <c r="AF30" s="138"/>
      <c r="AG30" s="138" t="s">
        <v>662</v>
      </c>
      <c r="AH30" s="138">
        <v>0</v>
      </c>
      <c r="AI30" s="138">
        <v>0</v>
      </c>
      <c r="AJ30" s="138">
        <v>0</v>
      </c>
      <c r="AK30" s="138">
        <v>0</v>
      </c>
      <c r="AL30" s="138">
        <v>0</v>
      </c>
      <c r="AN30" s="138" t="s">
        <v>662</v>
      </c>
      <c r="AO30" s="138">
        <v>0</v>
      </c>
      <c r="AP30" s="138">
        <v>0</v>
      </c>
      <c r="AQ30" s="138">
        <v>0</v>
      </c>
      <c r="AR30" s="138">
        <v>0</v>
      </c>
      <c r="AS30" s="138">
        <v>0</v>
      </c>
      <c r="AU30" s="138" t="s">
        <v>662</v>
      </c>
      <c r="AV30" s="138">
        <v>0</v>
      </c>
      <c r="AW30" s="138">
        <v>0</v>
      </c>
      <c r="AX30" s="138">
        <v>0</v>
      </c>
      <c r="AY30" s="138">
        <v>0</v>
      </c>
      <c r="AZ30" s="138">
        <v>0</v>
      </c>
      <c r="BB30" s="138" t="s">
        <v>659</v>
      </c>
      <c r="BC30" s="138">
        <v>0</v>
      </c>
      <c r="BD30" s="138">
        <v>0</v>
      </c>
      <c r="BE30" s="138">
        <v>0</v>
      </c>
      <c r="BF30" s="138">
        <v>0</v>
      </c>
      <c r="BG30" s="138">
        <v>0</v>
      </c>
      <c r="BH30" t="s">
        <v>659</v>
      </c>
      <c r="BI30" s="138">
        <v>0</v>
      </c>
      <c r="BJ30" s="138">
        <v>0</v>
      </c>
      <c r="BK30" s="138">
        <v>0</v>
      </c>
      <c r="BL30" s="138">
        <v>0</v>
      </c>
      <c r="BM30" s="138">
        <v>0</v>
      </c>
      <c r="BN30" s="138"/>
      <c r="BP30" s="152"/>
      <c r="BQ30" s="152"/>
      <c r="BR30" s="152"/>
      <c r="CS30" s="165">
        <v>2022</v>
      </c>
      <c r="CT30" s="163">
        <v>23</v>
      </c>
      <c r="CU30" s="163" t="s">
        <v>707</v>
      </c>
      <c r="CV30" s="163">
        <v>326908299869.73987</v>
      </c>
      <c r="CW30" s="163">
        <v>329018628273</v>
      </c>
      <c r="CX30" s="163">
        <v>3125</v>
      </c>
      <c r="CY30" s="163">
        <v>522616041163.68005</v>
      </c>
      <c r="CZ30" s="163">
        <v>544543507064</v>
      </c>
      <c r="DA30" s="163">
        <v>1880</v>
      </c>
      <c r="DB30" s="163">
        <v>195707741293.93997</v>
      </c>
      <c r="DC30" s="163">
        <v>215524878791</v>
      </c>
      <c r="DD30" s="163">
        <v>1245</v>
      </c>
    </row>
    <row r="31" spans="1:108" x14ac:dyDescent="0.25">
      <c r="B31" s="118" t="s">
        <v>236</v>
      </c>
      <c r="C31" s="121">
        <v>38713</v>
      </c>
      <c r="D31" s="118">
        <v>14630.23</v>
      </c>
      <c r="E31" s="138">
        <v>1</v>
      </c>
      <c r="F31" s="13"/>
      <c r="G31" s="138" t="s">
        <v>46</v>
      </c>
      <c r="H31" s="138">
        <v>65715.51851347</v>
      </c>
      <c r="I31" s="103"/>
      <c r="J31" s="13"/>
      <c r="M31"/>
      <c r="O31" s="138" t="s">
        <v>46</v>
      </c>
      <c r="P31" s="138">
        <v>69489.340363800002</v>
      </c>
      <c r="S31" s="138"/>
      <c r="T31" s="148"/>
      <c r="U31" s="148"/>
      <c r="V31" s="148"/>
      <c r="W31" s="148"/>
      <c r="X31" s="148"/>
      <c r="Z31" s="138" t="s">
        <v>663</v>
      </c>
      <c r="AA31" s="138">
        <v>0</v>
      </c>
      <c r="AB31" s="138">
        <v>0</v>
      </c>
      <c r="AC31" s="138">
        <v>0</v>
      </c>
      <c r="AD31" s="138">
        <v>0</v>
      </c>
      <c r="AE31" s="138">
        <v>0</v>
      </c>
      <c r="AF31" s="138"/>
      <c r="AG31" s="138" t="s">
        <v>663</v>
      </c>
      <c r="AH31" s="138">
        <v>0</v>
      </c>
      <c r="AI31" s="138">
        <v>0</v>
      </c>
      <c r="AJ31" s="138">
        <v>0</v>
      </c>
      <c r="AK31" s="138">
        <v>0</v>
      </c>
      <c r="AL31" s="138">
        <v>0</v>
      </c>
      <c r="AN31" s="138" t="s">
        <v>663</v>
      </c>
      <c r="AO31" s="138">
        <v>0</v>
      </c>
      <c r="AP31" s="138">
        <v>0</v>
      </c>
      <c r="AQ31" s="138">
        <v>0</v>
      </c>
      <c r="AR31" s="138">
        <v>0</v>
      </c>
      <c r="AS31" s="138">
        <v>0</v>
      </c>
      <c r="AU31" s="138" t="s">
        <v>663</v>
      </c>
      <c r="AV31" s="138">
        <v>0</v>
      </c>
      <c r="AW31" s="138">
        <v>0</v>
      </c>
      <c r="AX31" s="138">
        <v>0</v>
      </c>
      <c r="AY31" s="138">
        <v>0</v>
      </c>
      <c r="AZ31" s="138">
        <v>0</v>
      </c>
      <c r="BB31" s="138" t="s">
        <v>660</v>
      </c>
      <c r="BC31" s="138">
        <v>11210824.48</v>
      </c>
      <c r="BD31" s="138">
        <v>888</v>
      </c>
      <c r="BE31" s="138">
        <v>62</v>
      </c>
      <c r="BF31" s="138">
        <v>23650</v>
      </c>
      <c r="BG31" s="138">
        <v>0</v>
      </c>
      <c r="BH31" t="s">
        <v>660</v>
      </c>
      <c r="BI31" s="138">
        <v>2468844.4</v>
      </c>
      <c r="BJ31" s="138">
        <v>250</v>
      </c>
      <c r="BK31" s="138">
        <v>6</v>
      </c>
      <c r="BL31" s="138">
        <v>1255</v>
      </c>
      <c r="BM31" s="138">
        <v>0</v>
      </c>
      <c r="BN31" s="138"/>
      <c r="BO31" s="102" t="s">
        <v>437</v>
      </c>
      <c r="BP31" s="153" t="s">
        <v>523</v>
      </c>
      <c r="BQ31" s="153" t="s">
        <v>630</v>
      </c>
      <c r="BR31" s="153" t="s">
        <v>631</v>
      </c>
      <c r="CS31" s="165">
        <v>2022</v>
      </c>
      <c r="CT31" s="163">
        <v>207</v>
      </c>
      <c r="CU31" s="163" t="s">
        <v>708</v>
      </c>
      <c r="CV31" s="163">
        <v>-64430031341.630013</v>
      </c>
      <c r="CW31" s="163">
        <v>-69111565556</v>
      </c>
      <c r="CX31" s="163">
        <v>3561</v>
      </c>
      <c r="CY31" s="163">
        <v>77036866466.739975</v>
      </c>
      <c r="CZ31" s="163">
        <v>80479094728</v>
      </c>
      <c r="DA31" s="163">
        <v>1676</v>
      </c>
      <c r="DB31" s="163">
        <v>141466897808.36993</v>
      </c>
      <c r="DC31" s="163">
        <v>149590660284</v>
      </c>
      <c r="DD31" s="163">
        <v>1885</v>
      </c>
    </row>
    <row r="32" spans="1:108" x14ac:dyDescent="0.25">
      <c r="B32" s="118" t="s">
        <v>254</v>
      </c>
      <c r="C32" s="121">
        <v>44263</v>
      </c>
      <c r="D32" s="118">
        <v>67897.783925569995</v>
      </c>
      <c r="E32" s="138">
        <v>1</v>
      </c>
      <c r="G32" s="138" t="s">
        <v>42</v>
      </c>
      <c r="H32" s="138">
        <v>75067.471936119997</v>
      </c>
      <c r="I32" s="103"/>
      <c r="M32"/>
      <c r="O32" s="138" t="s">
        <v>42</v>
      </c>
      <c r="P32" s="138">
        <v>78218.370344919997</v>
      </c>
      <c r="S32" s="138"/>
      <c r="T32" s="148"/>
      <c r="U32" s="148"/>
      <c r="V32" s="148"/>
      <c r="W32" s="148"/>
      <c r="X32" s="148"/>
      <c r="Z32" s="138" t="s">
        <v>664</v>
      </c>
      <c r="AA32" s="138">
        <v>0</v>
      </c>
      <c r="AB32" s="138">
        <v>0</v>
      </c>
      <c r="AC32" s="138">
        <v>0</v>
      </c>
      <c r="AD32" s="138">
        <v>0</v>
      </c>
      <c r="AE32" s="138">
        <v>0</v>
      </c>
      <c r="AF32" s="138"/>
      <c r="AG32" s="138" t="s">
        <v>664</v>
      </c>
      <c r="AH32" s="138">
        <v>0</v>
      </c>
      <c r="AI32" s="138">
        <v>0</v>
      </c>
      <c r="AJ32" s="138">
        <v>0</v>
      </c>
      <c r="AK32" s="138">
        <v>0</v>
      </c>
      <c r="AL32" s="138">
        <v>0</v>
      </c>
      <c r="AN32" s="138" t="s">
        <v>664</v>
      </c>
      <c r="AO32" s="138">
        <v>0</v>
      </c>
      <c r="AP32" s="138">
        <v>0</v>
      </c>
      <c r="AQ32" s="138">
        <v>0</v>
      </c>
      <c r="AR32" s="138">
        <v>0</v>
      </c>
      <c r="AS32" s="138">
        <v>0</v>
      </c>
      <c r="AU32" s="138" t="s">
        <v>664</v>
      </c>
      <c r="AV32" s="138">
        <v>0</v>
      </c>
      <c r="AW32" s="138">
        <v>0</v>
      </c>
      <c r="AX32" s="138">
        <v>0</v>
      </c>
      <c r="AY32" s="138">
        <v>0</v>
      </c>
      <c r="AZ32" s="138">
        <v>0</v>
      </c>
      <c r="BB32" s="138" t="s">
        <v>661</v>
      </c>
      <c r="BC32" s="138">
        <v>0</v>
      </c>
      <c r="BD32" s="138">
        <v>0</v>
      </c>
      <c r="BE32" s="138">
        <v>0</v>
      </c>
      <c r="BF32" s="138">
        <v>0</v>
      </c>
      <c r="BG32" s="138">
        <v>0</v>
      </c>
      <c r="BH32" t="s">
        <v>661</v>
      </c>
      <c r="BI32" s="138">
        <v>0</v>
      </c>
      <c r="BJ32" s="138">
        <v>0</v>
      </c>
      <c r="BK32" s="138">
        <v>0</v>
      </c>
      <c r="BL32" s="138">
        <v>0</v>
      </c>
      <c r="BM32" s="138">
        <v>0</v>
      </c>
      <c r="BN32" s="138"/>
      <c r="BP32" s="152">
        <v>610226138110.25</v>
      </c>
      <c r="BQ32" s="152">
        <v>6379591</v>
      </c>
      <c r="BR32" s="152">
        <v>6631</v>
      </c>
      <c r="CS32" s="165">
        <v>2022</v>
      </c>
      <c r="CT32" s="163">
        <v>63</v>
      </c>
      <c r="CU32" s="163" t="s">
        <v>709</v>
      </c>
      <c r="CV32" s="163">
        <v>4346336718.0899963</v>
      </c>
      <c r="CW32" s="163">
        <v>1608912181</v>
      </c>
      <c r="CX32" s="163">
        <v>11621</v>
      </c>
      <c r="CY32" s="163">
        <v>408990855074.14008</v>
      </c>
      <c r="CZ32" s="163">
        <v>425477901479</v>
      </c>
      <c r="DA32" s="163">
        <v>5673</v>
      </c>
      <c r="DB32" s="163">
        <v>404644518356.04999</v>
      </c>
      <c r="DC32" s="163">
        <v>423868989298</v>
      </c>
      <c r="DD32" s="163">
        <v>5948</v>
      </c>
    </row>
    <row r="33" spans="1:108" x14ac:dyDescent="0.25">
      <c r="B33" s="118" t="s">
        <v>617</v>
      </c>
      <c r="C33" s="121">
        <v>42118</v>
      </c>
      <c r="D33" s="118">
        <v>1315.36</v>
      </c>
      <c r="E33" s="138">
        <v>1</v>
      </c>
      <c r="F33" s="1"/>
      <c r="G33" s="138" t="s">
        <v>48</v>
      </c>
      <c r="H33" s="138">
        <v>7706.9629988099996</v>
      </c>
      <c r="I33" s="103"/>
      <c r="M33"/>
      <c r="O33" s="138" t="s">
        <v>48</v>
      </c>
      <c r="P33" s="138">
        <v>8020.4096223099996</v>
      </c>
      <c r="R33" s="101" t="s">
        <v>421</v>
      </c>
      <c r="S33" s="138"/>
      <c r="T33" s="148"/>
      <c r="U33" s="148"/>
      <c r="V33" s="148"/>
      <c r="W33" s="148"/>
      <c r="X33" s="148"/>
      <c r="Z33" s="138" t="s">
        <v>665</v>
      </c>
      <c r="AA33" s="138">
        <v>0</v>
      </c>
      <c r="AB33" s="138">
        <v>0</v>
      </c>
      <c r="AC33" s="138">
        <v>0</v>
      </c>
      <c r="AD33" s="138">
        <v>0</v>
      </c>
      <c r="AE33" s="138">
        <v>0</v>
      </c>
      <c r="AF33" s="138"/>
      <c r="AG33" s="138" t="s">
        <v>665</v>
      </c>
      <c r="AH33" s="138">
        <v>0</v>
      </c>
      <c r="AI33" s="138">
        <v>0</v>
      </c>
      <c r="AJ33" s="138">
        <v>0</v>
      </c>
      <c r="AK33" s="138">
        <v>0</v>
      </c>
      <c r="AL33" s="138">
        <v>0</v>
      </c>
      <c r="AN33" s="138" t="s">
        <v>665</v>
      </c>
      <c r="AO33" s="138">
        <v>0</v>
      </c>
      <c r="AP33" s="138">
        <v>0</v>
      </c>
      <c r="AQ33" s="138">
        <v>0</v>
      </c>
      <c r="AR33" s="138">
        <v>0</v>
      </c>
      <c r="AS33" s="138">
        <v>0</v>
      </c>
      <c r="AU33" s="138" t="s">
        <v>665</v>
      </c>
      <c r="AV33" s="138">
        <v>0</v>
      </c>
      <c r="AW33" s="138">
        <v>0</v>
      </c>
      <c r="AX33" s="138">
        <v>0</v>
      </c>
      <c r="AY33" s="138">
        <v>0</v>
      </c>
      <c r="AZ33" s="138">
        <v>0</v>
      </c>
      <c r="BB33" s="138" t="s">
        <v>662</v>
      </c>
      <c r="BC33" s="138">
        <v>0</v>
      </c>
      <c r="BD33" s="138">
        <v>0</v>
      </c>
      <c r="BE33" s="138">
        <v>0</v>
      </c>
      <c r="BF33" s="138">
        <v>0</v>
      </c>
      <c r="BG33" s="138">
        <v>0</v>
      </c>
      <c r="BH33" t="s">
        <v>662</v>
      </c>
      <c r="BI33" s="138">
        <v>0</v>
      </c>
      <c r="BJ33" s="138">
        <v>0</v>
      </c>
      <c r="BK33" s="138">
        <v>0</v>
      </c>
      <c r="BL33" s="138">
        <v>0</v>
      </c>
      <c r="BM33" s="138">
        <v>0</v>
      </c>
      <c r="BN33" s="138"/>
      <c r="CS33" s="165">
        <v>2022</v>
      </c>
      <c r="CT33" s="163">
        <v>16</v>
      </c>
      <c r="CU33" s="163" t="s">
        <v>710</v>
      </c>
      <c r="CV33" s="163">
        <v>2003361076.3500006</v>
      </c>
      <c r="CW33" s="163">
        <v>146240256</v>
      </c>
      <c r="CX33" s="163">
        <v>383</v>
      </c>
      <c r="CY33" s="163">
        <v>39744468921.169998</v>
      </c>
      <c r="CZ33" s="163">
        <v>41083991064</v>
      </c>
      <c r="DA33" s="163">
        <v>166</v>
      </c>
      <c r="DB33" s="163">
        <v>37741107844.82</v>
      </c>
      <c r="DC33" s="163">
        <v>40937750808</v>
      </c>
      <c r="DD33" s="163">
        <v>217</v>
      </c>
    </row>
    <row r="34" spans="1:108" x14ac:dyDescent="0.25">
      <c r="B34" s="118" t="s">
        <v>532</v>
      </c>
      <c r="C34" s="121">
        <v>44953</v>
      </c>
      <c r="D34" s="118">
        <v>84285.514208270004</v>
      </c>
      <c r="E34" s="138">
        <v>1</v>
      </c>
      <c r="F34" s="1"/>
      <c r="G34" s="138" t="s">
        <v>532</v>
      </c>
      <c r="H34" s="138">
        <v>79317.080629899996</v>
      </c>
      <c r="I34" s="103"/>
      <c r="M34"/>
      <c r="O34" s="138" t="s">
        <v>532</v>
      </c>
      <c r="P34" s="138">
        <v>81625.568489950005</v>
      </c>
      <c r="S34" s="138"/>
      <c r="T34" s="148"/>
      <c r="U34" s="148"/>
      <c r="V34" s="148"/>
      <c r="W34" s="148"/>
      <c r="X34" s="148"/>
      <c r="Z34" s="138" t="s">
        <v>666</v>
      </c>
      <c r="AA34" s="138">
        <v>1862341</v>
      </c>
      <c r="AB34" s="138">
        <v>116</v>
      </c>
      <c r="AC34" s="138">
        <v>39</v>
      </c>
      <c r="AD34" s="138">
        <v>12904</v>
      </c>
      <c r="AE34" s="138">
        <v>0</v>
      </c>
      <c r="AF34" s="138"/>
      <c r="AG34" s="138" t="s">
        <v>666</v>
      </c>
      <c r="AH34" s="138">
        <v>15000</v>
      </c>
      <c r="AI34" s="138">
        <v>1</v>
      </c>
      <c r="AJ34" s="138">
        <v>1</v>
      </c>
      <c r="AK34" s="138">
        <v>620</v>
      </c>
      <c r="AL34" s="138">
        <v>0</v>
      </c>
      <c r="AN34" s="138" t="s">
        <v>666</v>
      </c>
      <c r="AO34" s="138">
        <v>18038594</v>
      </c>
      <c r="AP34" s="138">
        <v>757</v>
      </c>
      <c r="AQ34" s="138">
        <v>23</v>
      </c>
      <c r="AR34" s="138">
        <v>9651</v>
      </c>
      <c r="AS34" s="138">
        <v>0</v>
      </c>
      <c r="AU34" s="138" t="s">
        <v>666</v>
      </c>
      <c r="AV34" s="138">
        <v>31124</v>
      </c>
      <c r="AW34" s="138">
        <v>2</v>
      </c>
      <c r="AX34" s="138">
        <v>1</v>
      </c>
      <c r="AY34" s="138">
        <v>550</v>
      </c>
      <c r="AZ34" s="138">
        <v>0</v>
      </c>
      <c r="BB34" s="138" t="s">
        <v>663</v>
      </c>
      <c r="BC34" s="138">
        <v>0</v>
      </c>
      <c r="BD34" s="138">
        <v>0</v>
      </c>
      <c r="BE34" s="138">
        <v>0</v>
      </c>
      <c r="BF34" s="138">
        <v>0</v>
      </c>
      <c r="BG34" s="138">
        <v>0</v>
      </c>
      <c r="BH34" t="s">
        <v>663</v>
      </c>
      <c r="BI34" s="138">
        <v>0</v>
      </c>
      <c r="BJ34" s="138">
        <v>0</v>
      </c>
      <c r="BK34" s="138">
        <v>0</v>
      </c>
      <c r="BL34" s="138">
        <v>0</v>
      </c>
      <c r="BM34" s="138">
        <v>0</v>
      </c>
      <c r="BN34" s="138"/>
      <c r="BO34" s="102" t="s">
        <v>448</v>
      </c>
      <c r="BP34" s="153" t="s">
        <v>523</v>
      </c>
      <c r="BQ34" s="153" t="s">
        <v>630</v>
      </c>
      <c r="BR34" s="153" t="s">
        <v>631</v>
      </c>
      <c r="CS34" s="165"/>
      <c r="CT34" s="163"/>
      <c r="CU34" s="163"/>
      <c r="CV34" s="163"/>
      <c r="CW34" s="163"/>
      <c r="CX34" s="163"/>
      <c r="CY34" s="163"/>
      <c r="CZ34" s="163"/>
      <c r="DA34" s="163"/>
      <c r="DB34" s="163"/>
      <c r="DC34" s="163"/>
      <c r="DD34" s="163"/>
    </row>
    <row r="35" spans="1:108" x14ac:dyDescent="0.25">
      <c r="B35" s="118" t="s">
        <v>64</v>
      </c>
      <c r="C35" s="121">
        <v>45063</v>
      </c>
      <c r="D35" s="118">
        <v>109297.92139156</v>
      </c>
      <c r="E35" s="138">
        <v>1</v>
      </c>
      <c r="F35" s="1"/>
      <c r="G35" s="138" t="s">
        <v>533</v>
      </c>
      <c r="H35" s="138">
        <v>73002.744789379998</v>
      </c>
      <c r="I35" s="103"/>
      <c r="M35"/>
      <c r="O35" s="138" t="s">
        <v>533</v>
      </c>
      <c r="P35" s="138">
        <v>76016.883160840007</v>
      </c>
      <c r="S35" s="138"/>
      <c r="T35" s="148"/>
      <c r="U35" s="148"/>
      <c r="V35" s="148"/>
      <c r="W35" s="148"/>
      <c r="X35" s="148"/>
      <c r="Z35" s="138" t="s">
        <v>667</v>
      </c>
      <c r="AA35" s="138">
        <v>82348188.239999995</v>
      </c>
      <c r="AB35" s="138">
        <v>6200</v>
      </c>
      <c r="AC35" s="138">
        <v>679</v>
      </c>
      <c r="AD35" s="138">
        <v>366009</v>
      </c>
      <c r="AE35" s="138">
        <v>0</v>
      </c>
      <c r="AF35" s="138"/>
      <c r="AG35" s="138" t="s">
        <v>667</v>
      </c>
      <c r="AH35" s="138">
        <v>688173.5</v>
      </c>
      <c r="AI35" s="138">
        <v>85</v>
      </c>
      <c r="AJ35" s="138">
        <v>18</v>
      </c>
      <c r="AK35" s="138">
        <v>17675</v>
      </c>
      <c r="AL35" s="138">
        <v>0</v>
      </c>
      <c r="AN35" s="138" t="s">
        <v>667</v>
      </c>
      <c r="AO35" s="138">
        <v>71090837.310000002</v>
      </c>
      <c r="AP35" s="138">
        <v>5016</v>
      </c>
      <c r="AQ35" s="138">
        <v>624</v>
      </c>
      <c r="AR35" s="138">
        <v>250038</v>
      </c>
      <c r="AS35" s="138">
        <v>0</v>
      </c>
      <c r="AU35" s="138" t="s">
        <v>667</v>
      </c>
      <c r="AV35" s="138">
        <v>1678780.01</v>
      </c>
      <c r="AW35" s="138">
        <v>195</v>
      </c>
      <c r="AX35" s="138">
        <v>42</v>
      </c>
      <c r="AY35" s="138">
        <v>15118</v>
      </c>
      <c r="AZ35" s="138">
        <v>0</v>
      </c>
      <c r="BB35" s="138" t="s">
        <v>664</v>
      </c>
      <c r="BC35" s="138">
        <v>0</v>
      </c>
      <c r="BD35" s="138">
        <v>0</v>
      </c>
      <c r="BE35" s="138">
        <v>0</v>
      </c>
      <c r="BF35" s="138">
        <v>0</v>
      </c>
      <c r="BG35" s="138">
        <v>0</v>
      </c>
      <c r="BH35" t="s">
        <v>664</v>
      </c>
      <c r="BI35" s="138">
        <v>0</v>
      </c>
      <c r="BJ35" s="138">
        <v>0</v>
      </c>
      <c r="BK35" s="138">
        <v>0</v>
      </c>
      <c r="BL35" s="138">
        <v>0</v>
      </c>
      <c r="BM35" s="138">
        <v>0</v>
      </c>
      <c r="BN35" s="138"/>
      <c r="BO35" s="146"/>
      <c r="BP35" s="152">
        <v>435062430</v>
      </c>
      <c r="BQ35" s="152">
        <v>289947</v>
      </c>
      <c r="BR35" s="152">
        <v>593</v>
      </c>
    </row>
    <row r="36" spans="1:108" x14ac:dyDescent="0.25">
      <c r="B36" s="118" t="s">
        <v>270</v>
      </c>
      <c r="C36" s="121">
        <v>41009</v>
      </c>
      <c r="D36" s="118">
        <v>91356.97</v>
      </c>
      <c r="E36" s="138">
        <v>1</v>
      </c>
      <c r="F36" s="1"/>
      <c r="G36" s="138" t="s">
        <v>255</v>
      </c>
      <c r="H36" s="138">
        <v>3797.0509065800002</v>
      </c>
      <c r="I36" s="103"/>
      <c r="M36"/>
      <c r="O36" s="138" t="s">
        <v>255</v>
      </c>
      <c r="P36" s="138">
        <v>4267.2865974099996</v>
      </c>
      <c r="S36" s="138"/>
      <c r="T36" s="148"/>
      <c r="U36" s="148"/>
      <c r="V36" s="148"/>
      <c r="W36" s="148"/>
      <c r="X36" s="148"/>
      <c r="Z36" s="138" t="s">
        <v>668</v>
      </c>
      <c r="AA36" s="138">
        <v>0</v>
      </c>
      <c r="AB36" s="138">
        <v>0</v>
      </c>
      <c r="AC36" s="138">
        <v>0</v>
      </c>
      <c r="AD36" s="138">
        <v>0</v>
      </c>
      <c r="AE36" s="138">
        <v>0</v>
      </c>
      <c r="AF36" s="138"/>
      <c r="AG36" s="138" t="s">
        <v>668</v>
      </c>
      <c r="AH36" s="138">
        <v>0</v>
      </c>
      <c r="AI36" s="138">
        <v>0</v>
      </c>
      <c r="AJ36" s="138">
        <v>0</v>
      </c>
      <c r="AK36" s="138">
        <v>0</v>
      </c>
      <c r="AL36" s="138">
        <v>0</v>
      </c>
      <c r="AN36" s="138" t="s">
        <v>668</v>
      </c>
      <c r="AO36" s="138">
        <v>0</v>
      </c>
      <c r="AP36" s="138">
        <v>0</v>
      </c>
      <c r="AQ36" s="138">
        <v>0</v>
      </c>
      <c r="AR36" s="138">
        <v>0</v>
      </c>
      <c r="AS36" s="138">
        <v>0</v>
      </c>
      <c r="AU36" s="138" t="s">
        <v>668</v>
      </c>
      <c r="AV36" s="138">
        <v>0</v>
      </c>
      <c r="AW36" s="138">
        <v>0</v>
      </c>
      <c r="AX36" s="138">
        <v>0</v>
      </c>
      <c r="AY36" s="138">
        <v>0</v>
      </c>
      <c r="AZ36" s="138">
        <v>0</v>
      </c>
      <c r="BB36" s="138" t="s">
        <v>665</v>
      </c>
      <c r="BC36" s="138">
        <v>0</v>
      </c>
      <c r="BD36" s="138">
        <v>0</v>
      </c>
      <c r="BE36" s="138">
        <v>0</v>
      </c>
      <c r="BF36" s="138">
        <v>0</v>
      </c>
      <c r="BG36" s="138">
        <v>0</v>
      </c>
      <c r="BH36" t="s">
        <v>665</v>
      </c>
      <c r="BI36" s="138">
        <v>0</v>
      </c>
      <c r="BJ36" s="138">
        <v>0</v>
      </c>
      <c r="BK36" s="138">
        <v>0</v>
      </c>
      <c r="BL36" s="138">
        <v>0</v>
      </c>
      <c r="BM36" s="138">
        <v>0</v>
      </c>
      <c r="BN36" s="138"/>
    </row>
    <row r="37" spans="1:108" x14ac:dyDescent="0.25">
      <c r="B37" s="118" t="s">
        <v>279</v>
      </c>
      <c r="C37" s="121">
        <v>41689</v>
      </c>
      <c r="D37" s="118">
        <v>10314.608568510001</v>
      </c>
      <c r="E37" s="138">
        <v>1</v>
      </c>
      <c r="F37" s="13"/>
      <c r="G37" s="138" t="s">
        <v>60</v>
      </c>
      <c r="H37" s="138">
        <v>67511.618445989996</v>
      </c>
      <c r="I37" s="103"/>
      <c r="M37"/>
      <c r="O37" s="138" t="s">
        <v>60</v>
      </c>
      <c r="P37" s="138">
        <v>68999.724669000003</v>
      </c>
      <c r="S37" s="138"/>
      <c r="T37" s="148"/>
      <c r="U37" s="148"/>
      <c r="V37" s="148"/>
      <c r="W37" s="148"/>
      <c r="X37" s="148"/>
      <c r="Z37" s="138" t="s">
        <v>669</v>
      </c>
      <c r="AA37" s="138">
        <v>39877920.200000003</v>
      </c>
      <c r="AB37" s="138">
        <v>2829</v>
      </c>
      <c r="AC37" s="138">
        <v>294</v>
      </c>
      <c r="AD37" s="138">
        <v>295788</v>
      </c>
      <c r="AE37" s="138">
        <v>0</v>
      </c>
      <c r="AF37" s="138"/>
      <c r="AG37" s="138" t="s">
        <v>669</v>
      </c>
      <c r="AH37" s="138">
        <v>361706</v>
      </c>
      <c r="AI37" s="138">
        <v>45</v>
      </c>
      <c r="AJ37" s="138">
        <v>2</v>
      </c>
      <c r="AK37" s="138">
        <v>14155</v>
      </c>
      <c r="AL37" s="138">
        <v>0</v>
      </c>
      <c r="AN37" s="138" t="s">
        <v>669</v>
      </c>
      <c r="AO37" s="138">
        <v>23211073.760000002</v>
      </c>
      <c r="AP37" s="138">
        <v>2336</v>
      </c>
      <c r="AQ37" s="138">
        <v>143</v>
      </c>
      <c r="AR37" s="138">
        <v>227246</v>
      </c>
      <c r="AS37" s="138">
        <v>0</v>
      </c>
      <c r="AU37" s="138" t="s">
        <v>669</v>
      </c>
      <c r="AV37" s="138">
        <v>497911.3</v>
      </c>
      <c r="AW37" s="138">
        <v>80</v>
      </c>
      <c r="AX37" s="138">
        <v>5</v>
      </c>
      <c r="AY37" s="138">
        <v>12694</v>
      </c>
      <c r="AZ37" s="138">
        <v>0</v>
      </c>
      <c r="BB37" s="138" t="s">
        <v>666</v>
      </c>
      <c r="BC37" s="138">
        <v>6627800</v>
      </c>
      <c r="BD37" s="138">
        <v>352</v>
      </c>
      <c r="BE37" s="138">
        <v>33</v>
      </c>
      <c r="BF37" s="138">
        <v>21367</v>
      </c>
      <c r="BG37" s="138">
        <v>0</v>
      </c>
      <c r="BH37" t="s">
        <v>666</v>
      </c>
      <c r="BI37" s="138">
        <v>0</v>
      </c>
      <c r="BJ37" s="138">
        <v>0</v>
      </c>
      <c r="BK37" s="138">
        <v>0</v>
      </c>
      <c r="BL37" s="138">
        <v>999</v>
      </c>
      <c r="BM37" s="138">
        <v>0</v>
      </c>
      <c r="BN37" s="138"/>
      <c r="BO37" s="102" t="s">
        <v>440</v>
      </c>
      <c r="BP37" s="153" t="s">
        <v>523</v>
      </c>
      <c r="BQ37" s="153" t="s">
        <v>630</v>
      </c>
      <c r="BR37" s="153" t="s">
        <v>631</v>
      </c>
    </row>
    <row r="38" spans="1:108" x14ac:dyDescent="0.25">
      <c r="B38" s="118" t="s">
        <v>535</v>
      </c>
      <c r="C38" s="121">
        <v>44953</v>
      </c>
      <c r="D38" s="118">
        <v>21698.582382690001</v>
      </c>
      <c r="E38" s="138">
        <v>1</v>
      </c>
      <c r="F38" s="13"/>
      <c r="G38" s="138" t="s">
        <v>64</v>
      </c>
      <c r="H38" s="138">
        <v>102774.26773235999</v>
      </c>
      <c r="I38" s="103"/>
      <c r="M38"/>
      <c r="O38" s="138" t="s">
        <v>64</v>
      </c>
      <c r="P38" s="138">
        <v>106036.88165903</v>
      </c>
      <c r="S38" s="138"/>
      <c r="T38" s="148"/>
      <c r="U38" s="148"/>
      <c r="V38" s="148"/>
      <c r="W38" s="148"/>
      <c r="X38" s="148"/>
      <c r="Z38" s="138" t="s">
        <v>634</v>
      </c>
      <c r="AA38" s="138">
        <v>11221198197.504999</v>
      </c>
      <c r="AB38" s="138">
        <v>34378</v>
      </c>
      <c r="AC38" s="138">
        <v>6010</v>
      </c>
      <c r="AD38" s="138">
        <v>322620</v>
      </c>
      <c r="AE38" s="138">
        <v>1</v>
      </c>
      <c r="AF38" s="138"/>
      <c r="AG38" s="138" t="s">
        <v>634</v>
      </c>
      <c r="AH38" s="138">
        <v>642441824.28999996</v>
      </c>
      <c r="AI38" s="138">
        <v>1963</v>
      </c>
      <c r="AJ38" s="138">
        <v>484</v>
      </c>
      <c r="AK38" s="138">
        <v>13121</v>
      </c>
      <c r="AL38" s="138">
        <v>1</v>
      </c>
      <c r="AN38" s="138" t="s">
        <v>634</v>
      </c>
      <c r="AO38" s="138">
        <v>11566878889.91</v>
      </c>
      <c r="AP38" s="138">
        <v>34768</v>
      </c>
      <c r="AQ38" s="138">
        <v>4887</v>
      </c>
      <c r="AR38" s="138">
        <v>295112</v>
      </c>
      <c r="AS38" s="138">
        <v>1</v>
      </c>
      <c r="AU38" s="138" t="s">
        <v>634</v>
      </c>
      <c r="AV38" s="138">
        <v>692964344.5</v>
      </c>
      <c r="AW38" s="138">
        <v>2149</v>
      </c>
      <c r="AX38" s="138">
        <v>278</v>
      </c>
      <c r="AY38" s="138">
        <v>15562</v>
      </c>
      <c r="AZ38" s="138">
        <v>1</v>
      </c>
      <c r="BB38" s="138" t="s">
        <v>667</v>
      </c>
      <c r="BC38" s="138">
        <v>119416169.2</v>
      </c>
      <c r="BD38" s="138">
        <v>7367</v>
      </c>
      <c r="BE38" s="138">
        <v>818</v>
      </c>
      <c r="BF38" s="138">
        <v>475229</v>
      </c>
      <c r="BG38" s="138">
        <v>0</v>
      </c>
      <c r="BH38" t="s">
        <v>667</v>
      </c>
      <c r="BI38" s="138">
        <v>16434936.699999999</v>
      </c>
      <c r="BJ38" s="138">
        <v>889</v>
      </c>
      <c r="BK38" s="138">
        <v>15</v>
      </c>
      <c r="BL38" s="138">
        <v>23840</v>
      </c>
      <c r="BM38" s="138">
        <v>0</v>
      </c>
      <c r="BN38" s="138"/>
      <c r="BP38" s="152">
        <v>583690265483.89001</v>
      </c>
      <c r="BQ38" s="152">
        <v>5763446</v>
      </c>
      <c r="BR38" s="152">
        <v>5950</v>
      </c>
    </row>
    <row r="39" spans="1:108" x14ac:dyDescent="0.25">
      <c r="A39" s="97"/>
      <c r="B39" s="118" t="s">
        <v>618</v>
      </c>
      <c r="C39" s="121">
        <v>44244</v>
      </c>
      <c r="D39" s="118">
        <v>27908.368237300001</v>
      </c>
      <c r="E39" s="138">
        <v>1</v>
      </c>
      <c r="F39" s="13"/>
      <c r="G39" s="138" t="s">
        <v>66</v>
      </c>
      <c r="H39" s="138">
        <v>14415.27089912</v>
      </c>
      <c r="I39" s="103"/>
      <c r="M39"/>
      <c r="O39" s="138" t="s">
        <v>66</v>
      </c>
      <c r="P39" s="138">
        <v>15694.92146344</v>
      </c>
      <c r="S39" s="138"/>
      <c r="T39" s="148"/>
      <c r="U39" s="148"/>
      <c r="V39" s="148"/>
      <c r="W39" s="148"/>
      <c r="X39" s="148"/>
      <c r="Z39" s="138" t="s">
        <v>635</v>
      </c>
      <c r="AA39" s="138">
        <v>7899740.0099999998</v>
      </c>
      <c r="AB39" s="138">
        <v>54</v>
      </c>
      <c r="AC39" s="138">
        <v>3</v>
      </c>
      <c r="AD39" s="138">
        <v>1345</v>
      </c>
      <c r="AE39" s="138">
        <v>1</v>
      </c>
      <c r="AF39" s="138"/>
      <c r="AG39" s="138" t="s">
        <v>635</v>
      </c>
      <c r="AH39" s="138">
        <v>0</v>
      </c>
      <c r="AI39" s="138">
        <v>0</v>
      </c>
      <c r="AJ39" s="138">
        <v>0</v>
      </c>
      <c r="AK39" s="138">
        <v>82</v>
      </c>
      <c r="AL39" s="138">
        <v>1</v>
      </c>
      <c r="AN39" s="138" t="s">
        <v>635</v>
      </c>
      <c r="AO39" s="138">
        <v>4178099.9</v>
      </c>
      <c r="AP39" s="138">
        <v>27</v>
      </c>
      <c r="AQ39" s="138">
        <v>2</v>
      </c>
      <c r="AR39" s="138">
        <v>935</v>
      </c>
      <c r="AS39" s="138">
        <v>1</v>
      </c>
      <c r="AU39" s="138" t="s">
        <v>635</v>
      </c>
      <c r="AV39" s="138">
        <v>0</v>
      </c>
      <c r="AW39" s="138">
        <v>0</v>
      </c>
      <c r="AX39" s="138">
        <v>0</v>
      </c>
      <c r="AY39" s="138">
        <v>55</v>
      </c>
      <c r="AZ39" s="138">
        <v>1</v>
      </c>
      <c r="BB39" s="138" t="s">
        <v>668</v>
      </c>
      <c r="BC39" s="138">
        <v>0</v>
      </c>
      <c r="BD39" s="138">
        <v>0</v>
      </c>
      <c r="BE39" s="138">
        <v>0</v>
      </c>
      <c r="BF39" s="138">
        <v>0</v>
      </c>
      <c r="BG39" s="138">
        <v>0</v>
      </c>
      <c r="BH39" t="s">
        <v>668</v>
      </c>
      <c r="BI39" s="138">
        <v>0</v>
      </c>
      <c r="BJ39" s="138">
        <v>0</v>
      </c>
      <c r="BK39" s="138">
        <v>0</v>
      </c>
      <c r="BL39" s="138">
        <v>0</v>
      </c>
      <c r="BM39" s="138">
        <v>0</v>
      </c>
      <c r="BN39" s="138"/>
    </row>
    <row r="40" spans="1:108" x14ac:dyDescent="0.25">
      <c r="A40" s="97"/>
      <c r="B40" s="118" t="s">
        <v>291</v>
      </c>
      <c r="C40" s="121">
        <v>39381</v>
      </c>
      <c r="D40" s="118">
        <v>31088.74</v>
      </c>
      <c r="E40" s="138">
        <v>1</v>
      </c>
      <c r="F40" s="13"/>
      <c r="G40" s="138" t="s">
        <v>68</v>
      </c>
      <c r="H40" s="138">
        <v>97923.808029770007</v>
      </c>
      <c r="I40" s="103"/>
      <c r="M40"/>
      <c r="O40" s="138" t="s">
        <v>68</v>
      </c>
      <c r="P40" s="138">
        <v>101995.87334847001</v>
      </c>
      <c r="S40" s="138"/>
      <c r="T40" s="148"/>
      <c r="U40" s="148"/>
      <c r="V40" s="148"/>
      <c r="W40" s="148"/>
      <c r="X40" s="148"/>
      <c r="Z40" s="138" t="s">
        <v>636</v>
      </c>
      <c r="AA40" s="138">
        <v>176529819.5</v>
      </c>
      <c r="AB40" s="138">
        <v>2337</v>
      </c>
      <c r="AC40" s="138">
        <v>32</v>
      </c>
      <c r="AD40" s="138">
        <v>19607</v>
      </c>
      <c r="AE40" s="138">
        <v>1</v>
      </c>
      <c r="AF40" s="138"/>
      <c r="AG40" s="138" t="s">
        <v>636</v>
      </c>
      <c r="AH40" s="138">
        <v>1226829.5</v>
      </c>
      <c r="AI40" s="138">
        <v>17</v>
      </c>
      <c r="AJ40" s="138">
        <v>3</v>
      </c>
      <c r="AK40" s="138">
        <v>1058</v>
      </c>
      <c r="AL40" s="138">
        <v>1</v>
      </c>
      <c r="AN40" s="138" t="s">
        <v>636</v>
      </c>
      <c r="AO40" s="138">
        <v>167991060</v>
      </c>
      <c r="AP40" s="138">
        <v>2108</v>
      </c>
      <c r="AQ40" s="138">
        <v>131</v>
      </c>
      <c r="AR40" s="138">
        <v>19622</v>
      </c>
      <c r="AS40" s="138">
        <v>1</v>
      </c>
      <c r="AU40" s="138" t="s">
        <v>636</v>
      </c>
      <c r="AV40" s="138">
        <v>0</v>
      </c>
      <c r="AW40" s="138">
        <v>0</v>
      </c>
      <c r="AX40" s="138">
        <v>0</v>
      </c>
      <c r="AY40" s="138">
        <v>1202</v>
      </c>
      <c r="AZ40" s="138">
        <v>1</v>
      </c>
      <c r="BB40" s="138" t="s">
        <v>669</v>
      </c>
      <c r="BC40" s="138">
        <v>283554673.27999997</v>
      </c>
      <c r="BD40" s="138">
        <v>5417</v>
      </c>
      <c r="BE40" s="138">
        <v>246</v>
      </c>
      <c r="BF40" s="138">
        <v>322425</v>
      </c>
      <c r="BG40" s="138">
        <v>0</v>
      </c>
      <c r="BH40" t="s">
        <v>669</v>
      </c>
      <c r="BI40" s="138">
        <v>5654403</v>
      </c>
      <c r="BJ40" s="138">
        <v>161</v>
      </c>
      <c r="BK40" s="138">
        <v>15</v>
      </c>
      <c r="BL40" s="138">
        <v>15486</v>
      </c>
      <c r="BM40" s="138">
        <v>0</v>
      </c>
      <c r="BN40" s="138"/>
      <c r="BO40" s="102" t="s">
        <v>441</v>
      </c>
      <c r="BP40" s="153" t="s">
        <v>523</v>
      </c>
      <c r="BQ40" s="153" t="s">
        <v>630</v>
      </c>
      <c r="BR40" s="153" t="s">
        <v>631</v>
      </c>
    </row>
    <row r="41" spans="1:108" x14ac:dyDescent="0.25">
      <c r="B41" s="118" t="s">
        <v>76</v>
      </c>
      <c r="C41" s="121">
        <v>39381</v>
      </c>
      <c r="D41" s="118">
        <v>35813.949999999997</v>
      </c>
      <c r="E41" s="138">
        <v>1</v>
      </c>
      <c r="F41" s="13"/>
      <c r="G41" s="138" t="s">
        <v>105</v>
      </c>
      <c r="H41" s="138">
        <v>775.81984937000004</v>
      </c>
      <c r="I41" s="103"/>
      <c r="M41"/>
      <c r="O41" s="138" t="s">
        <v>105</v>
      </c>
      <c r="P41" s="138">
        <v>772.34985262999999</v>
      </c>
      <c r="S41" s="138"/>
      <c r="T41" s="148"/>
      <c r="U41" s="148"/>
      <c r="V41" s="148"/>
      <c r="W41" s="148"/>
      <c r="X41" s="148"/>
      <c r="Z41" s="138" t="s">
        <v>637</v>
      </c>
      <c r="AA41" s="138">
        <v>21737100.035999998</v>
      </c>
      <c r="AB41" s="138">
        <v>740</v>
      </c>
      <c r="AC41" s="138">
        <v>5</v>
      </c>
      <c r="AD41" s="138">
        <v>6784</v>
      </c>
      <c r="AE41" s="138">
        <v>1</v>
      </c>
      <c r="AF41" s="138"/>
      <c r="AG41" s="138" t="s">
        <v>637</v>
      </c>
      <c r="AH41" s="138">
        <v>0</v>
      </c>
      <c r="AI41" s="138">
        <v>0</v>
      </c>
      <c r="AJ41" s="138">
        <v>0</v>
      </c>
      <c r="AK41" s="138">
        <v>230</v>
      </c>
      <c r="AL41" s="138">
        <v>1</v>
      </c>
      <c r="AN41" s="138" t="s">
        <v>637</v>
      </c>
      <c r="AO41" s="138">
        <v>2286550</v>
      </c>
      <c r="AP41" s="138">
        <v>79</v>
      </c>
      <c r="AQ41" s="138">
        <v>7</v>
      </c>
      <c r="AR41" s="138">
        <v>4884</v>
      </c>
      <c r="AS41" s="138">
        <v>1</v>
      </c>
      <c r="AU41" s="138" t="s">
        <v>637</v>
      </c>
      <c r="AV41" s="138">
        <v>0</v>
      </c>
      <c r="AW41" s="138">
        <v>0</v>
      </c>
      <c r="AX41" s="138">
        <v>0</v>
      </c>
      <c r="AY41" s="138">
        <v>288</v>
      </c>
      <c r="AZ41" s="138">
        <v>1</v>
      </c>
      <c r="BB41" s="138" t="s">
        <v>673</v>
      </c>
      <c r="BC41" s="138">
        <v>0</v>
      </c>
      <c r="BD41" s="138">
        <v>0</v>
      </c>
      <c r="BE41" s="138">
        <v>0</v>
      </c>
      <c r="BF41" s="138">
        <v>0</v>
      </c>
      <c r="BG41" s="138">
        <v>0</v>
      </c>
      <c r="BH41" t="s">
        <v>673</v>
      </c>
      <c r="BI41" s="138">
        <v>0</v>
      </c>
      <c r="BJ41" s="138">
        <v>0</v>
      </c>
      <c r="BK41" s="138">
        <v>0</v>
      </c>
      <c r="BL41" s="138">
        <v>0</v>
      </c>
      <c r="BM41" s="138">
        <v>0</v>
      </c>
      <c r="BN41" s="138"/>
      <c r="BP41" s="152">
        <v>367275671.63999999</v>
      </c>
      <c r="BQ41" s="152">
        <v>226957</v>
      </c>
      <c r="BR41" s="152">
        <v>334</v>
      </c>
    </row>
    <row r="42" spans="1:108" x14ac:dyDescent="0.25">
      <c r="B42" s="118" t="s">
        <v>82</v>
      </c>
      <c r="C42" s="121">
        <v>39381</v>
      </c>
      <c r="D42" s="118">
        <v>65291.38</v>
      </c>
      <c r="E42" s="138">
        <v>1</v>
      </c>
      <c r="F42" s="13"/>
      <c r="G42" s="138" t="s">
        <v>256</v>
      </c>
      <c r="H42" s="138">
        <v>518.58795170999997</v>
      </c>
      <c r="I42" s="103"/>
      <c r="M42"/>
      <c r="O42" s="138" t="s">
        <v>256</v>
      </c>
      <c r="P42" s="138">
        <v>528.89588996999998</v>
      </c>
      <c r="S42" s="138"/>
      <c r="T42" s="148"/>
      <c r="U42" s="148"/>
      <c r="V42" s="148"/>
      <c r="W42" s="148"/>
      <c r="X42" s="148"/>
      <c r="Z42" s="138" t="s">
        <v>638</v>
      </c>
      <c r="AA42" s="138">
        <v>13313298.75</v>
      </c>
      <c r="AB42" s="138">
        <v>194</v>
      </c>
      <c r="AC42" s="138">
        <v>14</v>
      </c>
      <c r="AD42" s="138">
        <v>1845</v>
      </c>
      <c r="AE42" s="138">
        <v>1</v>
      </c>
      <c r="AF42" s="138"/>
      <c r="AG42" s="138" t="s">
        <v>638</v>
      </c>
      <c r="AH42" s="138">
        <v>0</v>
      </c>
      <c r="AI42" s="138">
        <v>0</v>
      </c>
      <c r="AJ42" s="138">
        <v>0</v>
      </c>
      <c r="AK42" s="138">
        <v>95</v>
      </c>
      <c r="AL42" s="138">
        <v>1</v>
      </c>
      <c r="AN42" s="138" t="s">
        <v>638</v>
      </c>
      <c r="AO42" s="138">
        <v>2078323.5</v>
      </c>
      <c r="AP42" s="138">
        <v>30</v>
      </c>
      <c r="AQ42" s="138">
        <v>10</v>
      </c>
      <c r="AR42" s="138">
        <v>1207</v>
      </c>
      <c r="AS42" s="138">
        <v>1</v>
      </c>
      <c r="AU42" s="138" t="s">
        <v>638</v>
      </c>
      <c r="AV42" s="138">
        <v>0</v>
      </c>
      <c r="AW42" s="138">
        <v>0</v>
      </c>
      <c r="AX42" s="138">
        <v>0</v>
      </c>
      <c r="AY42" s="138">
        <v>75</v>
      </c>
      <c r="AZ42" s="138">
        <v>1</v>
      </c>
      <c r="BB42" s="138" t="s">
        <v>674</v>
      </c>
      <c r="BC42" s="138">
        <v>61750</v>
      </c>
      <c r="BD42" s="138">
        <v>1</v>
      </c>
      <c r="BE42" s="138">
        <v>1</v>
      </c>
      <c r="BF42" s="138">
        <v>6</v>
      </c>
      <c r="BG42" s="138">
        <v>1</v>
      </c>
      <c r="BH42" t="s">
        <v>674</v>
      </c>
      <c r="BI42" s="138">
        <v>0</v>
      </c>
      <c r="BJ42" s="138">
        <v>0</v>
      </c>
      <c r="BK42" s="138">
        <v>0</v>
      </c>
      <c r="BL42" s="138">
        <v>0</v>
      </c>
      <c r="BM42" s="138">
        <v>1</v>
      </c>
      <c r="BN42" s="138"/>
      <c r="BP42" s="152"/>
      <c r="BQ42" s="152"/>
      <c r="BR42" s="152"/>
    </row>
    <row r="43" spans="1:108" x14ac:dyDescent="0.25">
      <c r="B43" s="118" t="s">
        <v>296</v>
      </c>
      <c r="C43" s="121">
        <v>41887</v>
      </c>
      <c r="D43" s="118">
        <v>417.67220522999997</v>
      </c>
      <c r="E43" s="138">
        <v>1</v>
      </c>
      <c r="F43" s="13"/>
      <c r="G43" s="138" t="s">
        <v>262</v>
      </c>
      <c r="H43" s="138">
        <v>9280.4891552299996</v>
      </c>
      <c r="I43" s="103"/>
      <c r="M43"/>
      <c r="O43" s="138" t="s">
        <v>262</v>
      </c>
      <c r="P43" s="138">
        <v>9730.7889419900002</v>
      </c>
      <c r="Z43" s="138" t="s">
        <v>639</v>
      </c>
      <c r="AA43" s="138">
        <v>19825870</v>
      </c>
      <c r="AB43" s="138">
        <v>114</v>
      </c>
      <c r="AC43" s="138">
        <v>4</v>
      </c>
      <c r="AD43" s="138">
        <v>1277</v>
      </c>
      <c r="AE43" s="138">
        <v>1</v>
      </c>
      <c r="AF43" s="138"/>
      <c r="AG43" s="138" t="s">
        <v>639</v>
      </c>
      <c r="AH43" s="138">
        <v>0</v>
      </c>
      <c r="AI43" s="138">
        <v>0</v>
      </c>
      <c r="AJ43" s="138">
        <v>0</v>
      </c>
      <c r="AK43" s="138">
        <v>52</v>
      </c>
      <c r="AL43" s="138">
        <v>1</v>
      </c>
      <c r="AN43" s="138" t="s">
        <v>639</v>
      </c>
      <c r="AO43" s="138">
        <v>1868750</v>
      </c>
      <c r="AP43" s="138">
        <v>10</v>
      </c>
      <c r="AQ43" s="138">
        <v>4</v>
      </c>
      <c r="AR43" s="138">
        <v>801</v>
      </c>
      <c r="AS43" s="138">
        <v>1</v>
      </c>
      <c r="AU43" s="138" t="s">
        <v>639</v>
      </c>
      <c r="AV43" s="138">
        <v>0</v>
      </c>
      <c r="AW43" s="138">
        <v>0</v>
      </c>
      <c r="AX43" s="138">
        <v>0</v>
      </c>
      <c r="AY43" s="138">
        <v>51</v>
      </c>
      <c r="AZ43" s="138">
        <v>1</v>
      </c>
      <c r="BB43" s="138" t="s">
        <v>634</v>
      </c>
      <c r="BC43" s="138">
        <v>10814378417.155001</v>
      </c>
      <c r="BD43" s="138">
        <v>27388</v>
      </c>
      <c r="BE43" s="138">
        <v>4290</v>
      </c>
      <c r="BF43" s="138">
        <v>387248</v>
      </c>
      <c r="BG43" s="138">
        <v>1</v>
      </c>
      <c r="BH43" t="s">
        <v>634</v>
      </c>
      <c r="BI43" s="138">
        <v>494629589.78500003</v>
      </c>
      <c r="BJ43" s="138">
        <v>1238</v>
      </c>
      <c r="BK43" s="138">
        <v>219</v>
      </c>
      <c r="BL43" s="138">
        <v>16944</v>
      </c>
      <c r="BM43" s="138">
        <v>1</v>
      </c>
      <c r="BN43" s="138"/>
      <c r="BO43" s="143" t="s">
        <v>455</v>
      </c>
      <c r="BP43" s="153" t="s">
        <v>632</v>
      </c>
      <c r="BQ43" s="152"/>
      <c r="BR43" s="152"/>
    </row>
    <row r="44" spans="1:108" x14ac:dyDescent="0.25">
      <c r="A44" s="27"/>
      <c r="B44" s="118" t="s">
        <v>298</v>
      </c>
      <c r="C44" s="121">
        <v>43587</v>
      </c>
      <c r="D44" s="118">
        <v>89801.649796929996</v>
      </c>
      <c r="E44" s="138">
        <v>1</v>
      </c>
      <c r="G44" s="138" t="s">
        <v>263</v>
      </c>
      <c r="H44" s="138">
        <v>943.71090519999996</v>
      </c>
      <c r="I44" s="103"/>
      <c r="M44"/>
      <c r="O44" s="138" t="s">
        <v>263</v>
      </c>
      <c r="P44" s="138">
        <v>964.76520803999995</v>
      </c>
      <c r="Z44" s="138" t="s">
        <v>640</v>
      </c>
      <c r="AA44" s="138">
        <v>37175402.5</v>
      </c>
      <c r="AB44" s="138">
        <v>393</v>
      </c>
      <c r="AC44" s="138">
        <v>21</v>
      </c>
      <c r="AD44" s="138">
        <v>2539</v>
      </c>
      <c r="AE44" s="138">
        <v>1</v>
      </c>
      <c r="AF44" s="138"/>
      <c r="AG44" s="138" t="s">
        <v>640</v>
      </c>
      <c r="AH44" s="138">
        <v>0</v>
      </c>
      <c r="AI44" s="138">
        <v>0</v>
      </c>
      <c r="AJ44" s="138">
        <v>0</v>
      </c>
      <c r="AK44" s="138">
        <v>45</v>
      </c>
      <c r="AL44" s="138">
        <v>1</v>
      </c>
      <c r="AN44" s="138" t="s">
        <v>640</v>
      </c>
      <c r="AO44" s="138">
        <v>2036300</v>
      </c>
      <c r="AP44" s="138">
        <v>20</v>
      </c>
      <c r="AQ44" s="138">
        <v>6</v>
      </c>
      <c r="AR44" s="138">
        <v>2547</v>
      </c>
      <c r="AS44" s="138">
        <v>1</v>
      </c>
      <c r="AU44" s="138" t="s">
        <v>640</v>
      </c>
      <c r="AV44" s="138">
        <v>0</v>
      </c>
      <c r="AW44" s="138">
        <v>0</v>
      </c>
      <c r="AX44" s="138">
        <v>0</v>
      </c>
      <c r="AY44" s="138">
        <v>159</v>
      </c>
      <c r="AZ44" s="138">
        <v>1</v>
      </c>
      <c r="BB44" s="138" t="s">
        <v>635</v>
      </c>
      <c r="BC44" s="138">
        <v>5004120</v>
      </c>
      <c r="BD44" s="138">
        <v>29</v>
      </c>
      <c r="BE44" s="138">
        <v>10</v>
      </c>
      <c r="BF44" s="138">
        <v>602</v>
      </c>
      <c r="BG44" s="138">
        <v>1</v>
      </c>
      <c r="BH44" t="s">
        <v>635</v>
      </c>
      <c r="BI44" s="138">
        <v>186500</v>
      </c>
      <c r="BJ44" s="138">
        <v>1</v>
      </c>
      <c r="BK44" s="138">
        <v>1</v>
      </c>
      <c r="BL44" s="138">
        <v>26</v>
      </c>
      <c r="BM44" s="138">
        <v>1</v>
      </c>
      <c r="BN44" s="138"/>
      <c r="BP44" s="152">
        <v>1197381</v>
      </c>
      <c r="BQ44" s="152"/>
      <c r="BR44" s="152"/>
    </row>
    <row r="45" spans="1:108" x14ac:dyDescent="0.25">
      <c r="B45" s="118" t="s">
        <v>541</v>
      </c>
      <c r="C45" s="121">
        <v>44953</v>
      </c>
      <c r="D45" s="118">
        <v>21698.582382690001</v>
      </c>
      <c r="E45" s="138">
        <v>1</v>
      </c>
      <c r="F45" s="1"/>
      <c r="G45" s="138" t="s">
        <v>90</v>
      </c>
      <c r="H45" s="138">
        <v>293.27066524000003</v>
      </c>
      <c r="I45" s="103"/>
      <c r="M45"/>
      <c r="O45" s="138" t="s">
        <v>90</v>
      </c>
      <c r="P45" s="138">
        <v>312.54680939000002</v>
      </c>
      <c r="S45" s="139"/>
      <c r="T45" s="147"/>
      <c r="U45" s="147"/>
      <c r="V45" s="147"/>
      <c r="W45" s="147"/>
      <c r="X45" s="147"/>
      <c r="Z45" s="138" t="s">
        <v>641</v>
      </c>
      <c r="AA45" s="138">
        <v>8258749196.6199999</v>
      </c>
      <c r="AB45" s="138">
        <v>19795</v>
      </c>
      <c r="AC45" s="138">
        <v>2020</v>
      </c>
      <c r="AD45" s="138">
        <v>248993</v>
      </c>
      <c r="AE45" s="138">
        <v>1</v>
      </c>
      <c r="AF45" s="138"/>
      <c r="AG45" s="138" t="s">
        <v>641</v>
      </c>
      <c r="AH45" s="138">
        <v>190614699.53999999</v>
      </c>
      <c r="AI45" s="138">
        <v>441</v>
      </c>
      <c r="AJ45" s="138">
        <v>82</v>
      </c>
      <c r="AK45" s="138">
        <v>11444</v>
      </c>
      <c r="AL45" s="138">
        <v>1</v>
      </c>
      <c r="AN45" s="138" t="s">
        <v>641</v>
      </c>
      <c r="AO45" s="138">
        <v>5463471951.5699997</v>
      </c>
      <c r="AP45" s="138">
        <v>12614</v>
      </c>
      <c r="AQ45" s="138">
        <v>1342</v>
      </c>
      <c r="AR45" s="138">
        <v>173112</v>
      </c>
      <c r="AS45" s="138">
        <v>1</v>
      </c>
      <c r="AU45" s="138" t="s">
        <v>641</v>
      </c>
      <c r="AV45" s="138">
        <v>482991111.31</v>
      </c>
      <c r="AW45" s="138">
        <v>1165</v>
      </c>
      <c r="AX45" s="138">
        <v>111</v>
      </c>
      <c r="AY45" s="138">
        <v>10884</v>
      </c>
      <c r="AZ45" s="138">
        <v>1</v>
      </c>
      <c r="BB45" s="138" t="s">
        <v>636</v>
      </c>
      <c r="BC45" s="138">
        <v>51139501.399999999</v>
      </c>
      <c r="BD45" s="138">
        <v>488</v>
      </c>
      <c r="BE45" s="138">
        <v>51</v>
      </c>
      <c r="BF45" s="138">
        <v>8916</v>
      </c>
      <c r="BG45" s="138">
        <v>1</v>
      </c>
      <c r="BH45" t="s">
        <v>636</v>
      </c>
      <c r="BI45" s="138">
        <v>3592669</v>
      </c>
      <c r="BJ45" s="138">
        <v>32</v>
      </c>
      <c r="BK45" s="138">
        <v>3</v>
      </c>
      <c r="BL45" s="138">
        <v>340</v>
      </c>
      <c r="BM45" s="138">
        <v>1</v>
      </c>
      <c r="BN45" s="138"/>
      <c r="BP45" s="152"/>
      <c r="BQ45" s="152"/>
      <c r="BR45" s="152"/>
    </row>
    <row r="46" spans="1:108" x14ac:dyDescent="0.25">
      <c r="B46" s="118" t="s">
        <v>542</v>
      </c>
      <c r="C46" s="121">
        <v>44953</v>
      </c>
      <c r="D46" s="118">
        <v>22453.62761335</v>
      </c>
      <c r="E46" s="138">
        <v>1</v>
      </c>
      <c r="F46" s="22"/>
      <c r="G46" s="138" t="s">
        <v>92</v>
      </c>
      <c r="H46" s="138">
        <v>213.3696267</v>
      </c>
      <c r="I46" s="103"/>
      <c r="M46"/>
      <c r="O46" s="138" t="s">
        <v>92</v>
      </c>
      <c r="P46" s="138">
        <v>228.01435891</v>
      </c>
      <c r="S46" s="138"/>
      <c r="T46" s="148"/>
      <c r="U46" s="148"/>
      <c r="V46" s="148"/>
      <c r="W46" s="148"/>
      <c r="X46" s="148"/>
      <c r="Z46" s="138" t="s">
        <v>642</v>
      </c>
      <c r="AA46" s="138">
        <v>62993794.350000001</v>
      </c>
      <c r="AB46" s="138">
        <v>2363</v>
      </c>
      <c r="AC46" s="138">
        <v>212</v>
      </c>
      <c r="AD46" s="138">
        <v>12301</v>
      </c>
      <c r="AE46" s="138">
        <v>1</v>
      </c>
      <c r="AF46" s="138"/>
      <c r="AG46" s="138" t="s">
        <v>642</v>
      </c>
      <c r="AH46" s="138">
        <v>51237.5</v>
      </c>
      <c r="AI46" s="138">
        <v>2</v>
      </c>
      <c r="AJ46" s="138">
        <v>2</v>
      </c>
      <c r="AK46" s="138">
        <v>148</v>
      </c>
      <c r="AL46" s="138">
        <v>1</v>
      </c>
      <c r="AN46" s="138" t="s">
        <v>642</v>
      </c>
      <c r="AO46" s="138">
        <v>8820475</v>
      </c>
      <c r="AP46" s="138">
        <v>306</v>
      </c>
      <c r="AQ46" s="138">
        <v>28</v>
      </c>
      <c r="AR46" s="138">
        <v>8075</v>
      </c>
      <c r="AS46" s="138">
        <v>1</v>
      </c>
      <c r="AU46" s="138" t="s">
        <v>642</v>
      </c>
      <c r="AV46" s="138">
        <v>1434600</v>
      </c>
      <c r="AW46" s="138">
        <v>54</v>
      </c>
      <c r="AX46" s="138">
        <v>3</v>
      </c>
      <c r="AY46" s="138">
        <v>505</v>
      </c>
      <c r="AZ46" s="138">
        <v>1</v>
      </c>
      <c r="BB46" s="138" t="s">
        <v>637</v>
      </c>
      <c r="BC46" s="138">
        <v>9665690.1960000005</v>
      </c>
      <c r="BD46" s="138">
        <v>391</v>
      </c>
      <c r="BE46" s="138">
        <v>6</v>
      </c>
      <c r="BF46" s="138">
        <v>1916</v>
      </c>
      <c r="BG46" s="138">
        <v>1</v>
      </c>
      <c r="BH46" t="s">
        <v>637</v>
      </c>
      <c r="BI46" s="138">
        <v>0</v>
      </c>
      <c r="BJ46" s="138">
        <v>0</v>
      </c>
      <c r="BK46" s="138">
        <v>0</v>
      </c>
      <c r="BL46" s="138">
        <v>0</v>
      </c>
      <c r="BM46" s="138">
        <v>1</v>
      </c>
      <c r="BN46" s="138"/>
      <c r="BO46" s="150" t="s">
        <v>456</v>
      </c>
      <c r="BP46" s="153" t="s">
        <v>632</v>
      </c>
      <c r="BQ46" s="152"/>
      <c r="BR46" s="152"/>
    </row>
    <row r="47" spans="1:108" x14ac:dyDescent="0.25">
      <c r="B47" s="118" t="s">
        <v>314</v>
      </c>
      <c r="C47" s="121">
        <v>41065</v>
      </c>
      <c r="D47" s="118">
        <v>1120.92</v>
      </c>
      <c r="E47" s="138">
        <v>1</v>
      </c>
      <c r="F47" s="28"/>
      <c r="G47" s="138" t="s">
        <v>266</v>
      </c>
      <c r="H47" s="138">
        <v>108967.34855333</v>
      </c>
      <c r="I47" s="103"/>
      <c r="J47" s="16"/>
      <c r="M47"/>
      <c r="O47" s="138" t="s">
        <v>266</v>
      </c>
      <c r="P47" s="138">
        <v>112687.53154546001</v>
      </c>
      <c r="S47" s="138"/>
      <c r="T47" s="148"/>
      <c r="U47" s="148"/>
      <c r="V47" s="148"/>
      <c r="W47" s="148"/>
      <c r="X47" s="148"/>
      <c r="Z47" s="138" t="s">
        <v>643</v>
      </c>
      <c r="AA47" s="138">
        <v>10450719</v>
      </c>
      <c r="AB47" s="138">
        <v>255</v>
      </c>
      <c r="AC47" s="138">
        <v>9</v>
      </c>
      <c r="AD47" s="138">
        <v>3411</v>
      </c>
      <c r="AE47" s="138">
        <v>1</v>
      </c>
      <c r="AF47" s="138"/>
      <c r="AG47" s="138" t="s">
        <v>643</v>
      </c>
      <c r="AH47" s="138">
        <v>0</v>
      </c>
      <c r="AI47" s="138">
        <v>0</v>
      </c>
      <c r="AJ47" s="138">
        <v>0</v>
      </c>
      <c r="AK47" s="138">
        <v>162</v>
      </c>
      <c r="AL47" s="138">
        <v>1</v>
      </c>
      <c r="AN47" s="138" t="s">
        <v>643</v>
      </c>
      <c r="AO47" s="138">
        <v>2577700</v>
      </c>
      <c r="AP47" s="138">
        <v>63</v>
      </c>
      <c r="AQ47" s="138">
        <v>5</v>
      </c>
      <c r="AR47" s="138">
        <v>2003</v>
      </c>
      <c r="AS47" s="138">
        <v>1</v>
      </c>
      <c r="AU47" s="138" t="s">
        <v>643</v>
      </c>
      <c r="AV47" s="138">
        <v>0</v>
      </c>
      <c r="AW47" s="138">
        <v>0</v>
      </c>
      <c r="AX47" s="138">
        <v>0</v>
      </c>
      <c r="AY47" s="138">
        <v>153</v>
      </c>
      <c r="AZ47" s="138">
        <v>1</v>
      </c>
      <c r="BB47" s="138" t="s">
        <v>638</v>
      </c>
      <c r="BC47" s="138">
        <v>8902724.25</v>
      </c>
      <c r="BD47" s="138">
        <v>109</v>
      </c>
      <c r="BE47" s="138">
        <v>30</v>
      </c>
      <c r="BF47" s="138">
        <v>2172</v>
      </c>
      <c r="BG47" s="138">
        <v>1</v>
      </c>
      <c r="BH47" t="s">
        <v>638</v>
      </c>
      <c r="BI47" s="138">
        <v>171000</v>
      </c>
      <c r="BJ47" s="138">
        <v>2</v>
      </c>
      <c r="BK47" s="138">
        <v>1</v>
      </c>
      <c r="BL47" s="138">
        <v>97</v>
      </c>
      <c r="BM47" s="138">
        <v>1</v>
      </c>
      <c r="BN47" s="138"/>
      <c r="BP47" s="152">
        <v>103702</v>
      </c>
      <c r="BQ47" s="152"/>
      <c r="BR47" s="152"/>
    </row>
    <row r="48" spans="1:108" x14ac:dyDescent="0.25">
      <c r="B48" s="118" t="s">
        <v>324</v>
      </c>
      <c r="C48" s="121">
        <v>43126</v>
      </c>
      <c r="D48" s="118">
        <v>25359.33</v>
      </c>
      <c r="E48" s="138">
        <v>1</v>
      </c>
      <c r="F48" s="28"/>
      <c r="G48" s="138" t="s">
        <v>94</v>
      </c>
      <c r="H48" s="138">
        <v>39012.245342820002</v>
      </c>
      <c r="I48" s="103"/>
      <c r="J48" s="16"/>
      <c r="M48"/>
      <c r="O48" s="138" t="s">
        <v>94</v>
      </c>
      <c r="P48" s="138">
        <v>39951.06442481</v>
      </c>
      <c r="S48" s="138"/>
      <c r="T48" s="148"/>
      <c r="U48" s="148"/>
      <c r="V48" s="148"/>
      <c r="W48" s="148"/>
      <c r="X48" s="148"/>
      <c r="Z48" s="138" t="s">
        <v>644</v>
      </c>
      <c r="AA48" s="138">
        <v>7879240.04</v>
      </c>
      <c r="AB48" s="138">
        <v>56</v>
      </c>
      <c r="AC48" s="138">
        <v>2</v>
      </c>
      <c r="AD48" s="138">
        <v>616</v>
      </c>
      <c r="AE48" s="138">
        <v>1</v>
      </c>
      <c r="AF48" s="138"/>
      <c r="AG48" s="138" t="s">
        <v>644</v>
      </c>
      <c r="AH48" s="138">
        <v>0</v>
      </c>
      <c r="AI48" s="138">
        <v>0</v>
      </c>
      <c r="AJ48" s="138">
        <v>0</v>
      </c>
      <c r="AK48" s="138">
        <v>28</v>
      </c>
      <c r="AL48" s="138">
        <v>1</v>
      </c>
      <c r="AN48" s="138" t="s">
        <v>644</v>
      </c>
      <c r="AO48" s="138">
        <v>4116079.92</v>
      </c>
      <c r="AP48" s="138">
        <v>28</v>
      </c>
      <c r="AQ48" s="138">
        <v>2</v>
      </c>
      <c r="AR48" s="138">
        <v>324</v>
      </c>
      <c r="AS48" s="138">
        <v>1</v>
      </c>
      <c r="AU48" s="138" t="s">
        <v>644</v>
      </c>
      <c r="AV48" s="138">
        <v>0</v>
      </c>
      <c r="AW48" s="138">
        <v>0</v>
      </c>
      <c r="AX48" s="138">
        <v>0</v>
      </c>
      <c r="AY48" s="138">
        <v>28</v>
      </c>
      <c r="AZ48" s="138">
        <v>1</v>
      </c>
      <c r="BB48" s="138" t="s">
        <v>639</v>
      </c>
      <c r="BC48" s="138">
        <v>11769000</v>
      </c>
      <c r="BD48" s="138">
        <v>69</v>
      </c>
      <c r="BE48" s="138">
        <v>7</v>
      </c>
      <c r="BF48" s="138">
        <v>1153</v>
      </c>
      <c r="BG48" s="138">
        <v>1</v>
      </c>
      <c r="BH48" t="s">
        <v>639</v>
      </c>
      <c r="BI48" s="138">
        <v>2700000</v>
      </c>
      <c r="BJ48" s="138">
        <v>16</v>
      </c>
      <c r="BK48" s="138">
        <v>1</v>
      </c>
      <c r="BL48" s="138">
        <v>56</v>
      </c>
      <c r="BM48" s="138">
        <v>1</v>
      </c>
      <c r="BN48" s="138"/>
    </row>
    <row r="49" spans="1:70" x14ac:dyDescent="0.25">
      <c r="B49" s="118" t="s">
        <v>325</v>
      </c>
      <c r="C49" s="121">
        <v>41904</v>
      </c>
      <c r="D49" s="118">
        <v>4598.12</v>
      </c>
      <c r="E49" s="138">
        <v>1</v>
      </c>
      <c r="F49" s="28"/>
      <c r="G49" s="138" t="s">
        <v>267</v>
      </c>
      <c r="H49" s="138">
        <v>246.87532515000001</v>
      </c>
      <c r="I49" s="103"/>
      <c r="J49" s="16"/>
      <c r="M49"/>
      <c r="O49" s="138" t="s">
        <v>267</v>
      </c>
      <c r="P49" s="138">
        <v>277.94583811000001</v>
      </c>
      <c r="S49" s="138"/>
      <c r="T49" s="148"/>
      <c r="U49" s="148"/>
      <c r="V49" s="148"/>
      <c r="W49" s="148"/>
      <c r="X49" s="148"/>
      <c r="Z49" s="138" t="s">
        <v>645</v>
      </c>
      <c r="AA49" s="138">
        <v>4564226</v>
      </c>
      <c r="AB49" s="138">
        <v>80</v>
      </c>
      <c r="AC49" s="138">
        <v>2</v>
      </c>
      <c r="AD49" s="138">
        <v>880</v>
      </c>
      <c r="AE49" s="138">
        <v>1</v>
      </c>
      <c r="AF49" s="138"/>
      <c r="AG49" s="138" t="s">
        <v>645</v>
      </c>
      <c r="AH49" s="138">
        <v>0</v>
      </c>
      <c r="AI49" s="138">
        <v>0</v>
      </c>
      <c r="AJ49" s="138">
        <v>0</v>
      </c>
      <c r="AK49" s="138">
        <v>40</v>
      </c>
      <c r="AL49" s="138">
        <v>1</v>
      </c>
      <c r="AN49" s="138" t="s">
        <v>645</v>
      </c>
      <c r="AO49" s="138">
        <v>3370390</v>
      </c>
      <c r="AP49" s="138">
        <v>60</v>
      </c>
      <c r="AQ49" s="138">
        <v>3</v>
      </c>
      <c r="AR49" s="138">
        <v>1349</v>
      </c>
      <c r="AS49" s="138">
        <v>1</v>
      </c>
      <c r="AU49" s="138" t="s">
        <v>645</v>
      </c>
      <c r="AV49" s="138">
        <v>0</v>
      </c>
      <c r="AW49" s="138">
        <v>0</v>
      </c>
      <c r="AX49" s="138">
        <v>0</v>
      </c>
      <c r="AY49" s="138">
        <v>40</v>
      </c>
      <c r="AZ49" s="138">
        <v>1</v>
      </c>
      <c r="BB49" s="138" t="s">
        <v>640</v>
      </c>
      <c r="BC49" s="138">
        <v>15456090.75</v>
      </c>
      <c r="BD49" s="138">
        <v>147</v>
      </c>
      <c r="BE49" s="138">
        <v>7</v>
      </c>
      <c r="BF49" s="138">
        <v>1040</v>
      </c>
      <c r="BG49" s="138">
        <v>1</v>
      </c>
      <c r="BH49" t="s">
        <v>640</v>
      </c>
      <c r="BI49" s="138">
        <v>0</v>
      </c>
      <c r="BJ49" s="138">
        <v>0</v>
      </c>
      <c r="BK49" s="138">
        <v>0</v>
      </c>
      <c r="BL49" s="138">
        <v>45</v>
      </c>
      <c r="BM49" s="138">
        <v>1</v>
      </c>
      <c r="BN49" s="138"/>
      <c r="BO49" s="102" t="s">
        <v>458</v>
      </c>
      <c r="BP49" s="153" t="s">
        <v>523</v>
      </c>
      <c r="BQ49" s="153" t="s">
        <v>630</v>
      </c>
      <c r="BR49" s="153" t="s">
        <v>631</v>
      </c>
    </row>
    <row r="50" spans="1:70" x14ac:dyDescent="0.25">
      <c r="B50" s="118" t="s">
        <v>326</v>
      </c>
      <c r="C50" s="121">
        <v>42146</v>
      </c>
      <c r="D50" s="118">
        <v>12996.36</v>
      </c>
      <c r="E50" s="138">
        <v>1</v>
      </c>
      <c r="F50" s="28"/>
      <c r="G50" s="138" t="s">
        <v>276</v>
      </c>
      <c r="H50" s="138">
        <v>22989.789400000001</v>
      </c>
      <c r="I50" s="103"/>
      <c r="J50" s="16"/>
      <c r="M50"/>
      <c r="O50" s="138" t="s">
        <v>276</v>
      </c>
      <c r="P50" s="138">
        <v>22929.454300000001</v>
      </c>
      <c r="R50" s="101" t="s">
        <v>422</v>
      </c>
      <c r="S50" s="138"/>
      <c r="T50" s="148"/>
      <c r="U50" s="148"/>
      <c r="V50" s="148"/>
      <c r="W50" s="148"/>
      <c r="X50" s="148"/>
      <c r="Z50" s="138" t="s">
        <v>646</v>
      </c>
      <c r="AA50" s="138">
        <v>9936181.0800000001</v>
      </c>
      <c r="AB50" s="138">
        <v>102</v>
      </c>
      <c r="AC50" s="138">
        <v>5</v>
      </c>
      <c r="AD50" s="138">
        <v>578</v>
      </c>
      <c r="AE50" s="138">
        <v>1</v>
      </c>
      <c r="AF50" s="138"/>
      <c r="AG50" s="138" t="s">
        <v>646</v>
      </c>
      <c r="AH50" s="138">
        <v>0</v>
      </c>
      <c r="AI50" s="138">
        <v>0</v>
      </c>
      <c r="AJ50" s="138">
        <v>0</v>
      </c>
      <c r="AK50" s="138">
        <v>0</v>
      </c>
      <c r="AL50" s="138">
        <v>1</v>
      </c>
      <c r="AN50" s="138" t="s">
        <v>646</v>
      </c>
      <c r="AO50" s="138">
        <v>1448260.8</v>
      </c>
      <c r="AP50" s="138">
        <v>13</v>
      </c>
      <c r="AQ50" s="138">
        <v>3</v>
      </c>
      <c r="AR50" s="138">
        <v>635</v>
      </c>
      <c r="AS50" s="138">
        <v>1</v>
      </c>
      <c r="AU50" s="138" t="s">
        <v>646</v>
      </c>
      <c r="AV50" s="138">
        <v>0</v>
      </c>
      <c r="AW50" s="138">
        <v>0</v>
      </c>
      <c r="AX50" s="138">
        <v>0</v>
      </c>
      <c r="AY50" s="138">
        <v>34</v>
      </c>
      <c r="AZ50" s="138">
        <v>1</v>
      </c>
      <c r="BB50" s="138" t="s">
        <v>641</v>
      </c>
      <c r="BC50" s="138">
        <v>8885717555.8700008</v>
      </c>
      <c r="BD50" s="138">
        <v>18449</v>
      </c>
      <c r="BE50" s="138">
        <v>1696</v>
      </c>
      <c r="BF50" s="138">
        <v>257568</v>
      </c>
      <c r="BG50" s="138">
        <v>1</v>
      </c>
      <c r="BH50" t="s">
        <v>641</v>
      </c>
      <c r="BI50" s="138">
        <v>351744340.64999998</v>
      </c>
      <c r="BJ50" s="138">
        <v>747</v>
      </c>
      <c r="BK50" s="138">
        <v>169</v>
      </c>
      <c r="BL50" s="138">
        <v>11187</v>
      </c>
      <c r="BM50" s="138">
        <v>1</v>
      </c>
      <c r="BN50" s="138"/>
      <c r="BP50" s="152"/>
      <c r="BQ50" s="152"/>
      <c r="BR50" s="152"/>
    </row>
    <row r="51" spans="1:70" x14ac:dyDescent="0.25">
      <c r="B51" s="118" t="s">
        <v>549</v>
      </c>
      <c r="C51" s="121">
        <v>45054</v>
      </c>
      <c r="D51" s="118">
        <v>3346.6833818599998</v>
      </c>
      <c r="E51" s="138">
        <v>1</v>
      </c>
      <c r="F51" s="13"/>
      <c r="G51" s="138" t="s">
        <v>277</v>
      </c>
      <c r="H51" s="138">
        <v>30354.805549600002</v>
      </c>
      <c r="I51" s="103"/>
      <c r="M51"/>
      <c r="O51" s="138" t="s">
        <v>277</v>
      </c>
      <c r="P51" s="138">
        <v>32283.207820660002</v>
      </c>
      <c r="S51" s="138"/>
      <c r="T51" s="148"/>
      <c r="U51" s="148"/>
      <c r="V51" s="148"/>
      <c r="W51" s="148"/>
      <c r="X51" s="148"/>
      <c r="Z51" s="138" t="s">
        <v>647</v>
      </c>
      <c r="AA51" s="138">
        <v>214678220</v>
      </c>
      <c r="AB51" s="138">
        <v>556</v>
      </c>
      <c r="AC51" s="138">
        <v>67</v>
      </c>
      <c r="AD51" s="138">
        <v>5998</v>
      </c>
      <c r="AE51" s="138">
        <v>1</v>
      </c>
      <c r="AF51" s="138"/>
      <c r="AG51" s="138" t="s">
        <v>647</v>
      </c>
      <c r="AH51" s="138">
        <v>1994520</v>
      </c>
      <c r="AI51" s="138">
        <v>5</v>
      </c>
      <c r="AJ51" s="138">
        <v>3</v>
      </c>
      <c r="AK51" s="138">
        <v>233</v>
      </c>
      <c r="AL51" s="138">
        <v>1</v>
      </c>
      <c r="AN51" s="138" t="s">
        <v>647</v>
      </c>
      <c r="AO51" s="138">
        <v>64660419.983000003</v>
      </c>
      <c r="AP51" s="138">
        <v>176</v>
      </c>
      <c r="AQ51" s="138">
        <v>40</v>
      </c>
      <c r="AR51" s="138">
        <v>4469</v>
      </c>
      <c r="AS51" s="138">
        <v>1</v>
      </c>
      <c r="AU51" s="138" t="s">
        <v>647</v>
      </c>
      <c r="AV51" s="138">
        <v>740540</v>
      </c>
      <c r="AW51" s="138">
        <v>2</v>
      </c>
      <c r="AX51" s="138">
        <v>2</v>
      </c>
      <c r="AY51" s="138">
        <v>305</v>
      </c>
      <c r="AZ51" s="138">
        <v>1</v>
      </c>
      <c r="BB51" s="138" t="s">
        <v>642</v>
      </c>
      <c r="BC51" s="138">
        <v>85537784.700000003</v>
      </c>
      <c r="BD51" s="138">
        <v>2315</v>
      </c>
      <c r="BE51" s="138">
        <v>109</v>
      </c>
      <c r="BF51" s="138">
        <v>21841</v>
      </c>
      <c r="BG51" s="138">
        <v>1</v>
      </c>
      <c r="BH51" t="s">
        <v>642</v>
      </c>
      <c r="BI51" s="138">
        <v>2196825</v>
      </c>
      <c r="BJ51" s="138">
        <v>60</v>
      </c>
      <c r="BK51" s="138">
        <v>8</v>
      </c>
      <c r="BL51" s="138">
        <v>788</v>
      </c>
      <c r="BM51" s="138">
        <v>1</v>
      </c>
      <c r="BN51" s="138"/>
    </row>
    <row r="52" spans="1:70" x14ac:dyDescent="0.25">
      <c r="B52" s="118" t="s">
        <v>333</v>
      </c>
      <c r="C52" s="121">
        <v>44267</v>
      </c>
      <c r="D52" s="118">
        <v>57211.3</v>
      </c>
      <c r="E52" s="138">
        <v>1</v>
      </c>
      <c r="G52" s="138" t="s">
        <v>57</v>
      </c>
      <c r="H52" s="138">
        <v>35119.239289240002</v>
      </c>
      <c r="I52" s="103"/>
      <c r="M52"/>
      <c r="O52" s="138" t="s">
        <v>57</v>
      </c>
      <c r="P52" s="138">
        <v>36738.136411259999</v>
      </c>
      <c r="S52" s="138"/>
      <c r="T52" s="148"/>
      <c r="U52" s="148"/>
      <c r="V52" s="148"/>
      <c r="W52" s="148"/>
      <c r="X52" s="148"/>
      <c r="Z52" s="138" t="s">
        <v>648</v>
      </c>
      <c r="AA52" s="138">
        <v>33123790</v>
      </c>
      <c r="AB52" s="138">
        <v>162</v>
      </c>
      <c r="AC52" s="138">
        <v>11</v>
      </c>
      <c r="AD52" s="138">
        <v>1623</v>
      </c>
      <c r="AE52" s="138">
        <v>1</v>
      </c>
      <c r="AF52" s="138"/>
      <c r="AG52" s="138" t="s">
        <v>648</v>
      </c>
      <c r="AH52" s="138">
        <v>0</v>
      </c>
      <c r="AI52" s="138">
        <v>0</v>
      </c>
      <c r="AJ52" s="138">
        <v>0</v>
      </c>
      <c r="AK52" s="138">
        <v>83</v>
      </c>
      <c r="AL52" s="138">
        <v>1</v>
      </c>
      <c r="AN52" s="138" t="s">
        <v>648</v>
      </c>
      <c r="AO52" s="138">
        <v>4434700</v>
      </c>
      <c r="AP52" s="138">
        <v>22</v>
      </c>
      <c r="AQ52" s="138">
        <v>6</v>
      </c>
      <c r="AR52" s="138">
        <v>1285</v>
      </c>
      <c r="AS52" s="138">
        <v>1</v>
      </c>
      <c r="AU52" s="138" t="s">
        <v>648</v>
      </c>
      <c r="AV52" s="138">
        <v>0</v>
      </c>
      <c r="AW52" s="138">
        <v>0</v>
      </c>
      <c r="AX52" s="138">
        <v>0</v>
      </c>
      <c r="AY52" s="138">
        <v>73</v>
      </c>
      <c r="AZ52" s="138">
        <v>1</v>
      </c>
      <c r="BB52" s="138" t="s">
        <v>643</v>
      </c>
      <c r="BC52" s="138">
        <v>7167870</v>
      </c>
      <c r="BD52" s="138">
        <v>105</v>
      </c>
      <c r="BE52" s="138">
        <v>9</v>
      </c>
      <c r="BF52" s="138">
        <v>2452</v>
      </c>
      <c r="BG52" s="138">
        <v>1</v>
      </c>
      <c r="BH52" t="s">
        <v>643</v>
      </c>
      <c r="BI52" s="138">
        <v>524320</v>
      </c>
      <c r="BJ52" s="138">
        <v>8</v>
      </c>
      <c r="BK52" s="138">
        <v>1</v>
      </c>
      <c r="BL52" s="138">
        <v>128</v>
      </c>
      <c r="BM52" s="138">
        <v>1</v>
      </c>
      <c r="BN52" s="138"/>
      <c r="BO52" s="149" t="s">
        <v>459</v>
      </c>
      <c r="BP52" s="153" t="s">
        <v>523</v>
      </c>
      <c r="BQ52" s="153" t="s">
        <v>630</v>
      </c>
      <c r="BR52" s="153" t="s">
        <v>631</v>
      </c>
    </row>
    <row r="53" spans="1:70" x14ac:dyDescent="0.25">
      <c r="B53" s="118" t="s">
        <v>560</v>
      </c>
      <c r="C53" s="121">
        <v>44987</v>
      </c>
      <c r="D53" s="118">
        <v>6767.1743560699997</v>
      </c>
      <c r="E53" s="138">
        <v>1</v>
      </c>
      <c r="F53" s="1"/>
      <c r="G53" s="138" t="s">
        <v>50</v>
      </c>
      <c r="H53" s="138">
        <v>37212.773748699998</v>
      </c>
      <c r="I53" s="103"/>
      <c r="M53"/>
      <c r="O53" s="138" t="s">
        <v>50</v>
      </c>
      <c r="P53" s="138">
        <v>39029.520614009998</v>
      </c>
      <c r="S53" s="138"/>
      <c r="T53" s="148"/>
      <c r="U53" s="148"/>
      <c r="V53" s="148"/>
      <c r="W53" s="148"/>
      <c r="X53" s="148"/>
      <c r="Z53" s="138" t="s">
        <v>649</v>
      </c>
      <c r="AA53" s="138">
        <v>311519929.47500002</v>
      </c>
      <c r="AB53" s="138">
        <v>1070</v>
      </c>
      <c r="AC53" s="138">
        <v>109</v>
      </c>
      <c r="AD53" s="138">
        <v>9907</v>
      </c>
      <c r="AE53" s="138">
        <v>1</v>
      </c>
      <c r="AF53" s="138"/>
      <c r="AG53" s="138" t="s">
        <v>649</v>
      </c>
      <c r="AH53" s="138">
        <v>21407113.024999999</v>
      </c>
      <c r="AI53" s="138">
        <v>76</v>
      </c>
      <c r="AJ53" s="138">
        <v>9</v>
      </c>
      <c r="AK53" s="138">
        <v>534</v>
      </c>
      <c r="AL53" s="138">
        <v>1</v>
      </c>
      <c r="AN53" s="138" t="s">
        <v>649</v>
      </c>
      <c r="AO53" s="138">
        <v>172127700.04499999</v>
      </c>
      <c r="AP53" s="138">
        <v>611</v>
      </c>
      <c r="AQ53" s="138">
        <v>34</v>
      </c>
      <c r="AR53" s="138">
        <v>4800</v>
      </c>
      <c r="AS53" s="138">
        <v>1</v>
      </c>
      <c r="AU53" s="138" t="s">
        <v>649</v>
      </c>
      <c r="AV53" s="138">
        <v>28384180</v>
      </c>
      <c r="AW53" s="138">
        <v>109</v>
      </c>
      <c r="AX53" s="138">
        <v>3</v>
      </c>
      <c r="AY53" s="138">
        <v>194</v>
      </c>
      <c r="AZ53" s="138">
        <v>1</v>
      </c>
      <c r="BB53" s="138" t="s">
        <v>644</v>
      </c>
      <c r="BC53" s="138">
        <v>4440340</v>
      </c>
      <c r="BD53" s="138">
        <v>26</v>
      </c>
      <c r="BE53" s="138">
        <v>4</v>
      </c>
      <c r="BF53" s="138">
        <v>521</v>
      </c>
      <c r="BG53" s="138">
        <v>1</v>
      </c>
      <c r="BH53" t="s">
        <v>644</v>
      </c>
      <c r="BI53" s="138">
        <v>1089120</v>
      </c>
      <c r="BJ53" s="138">
        <v>6</v>
      </c>
      <c r="BK53" s="138">
        <v>1</v>
      </c>
      <c r="BL53" s="138">
        <v>30</v>
      </c>
      <c r="BM53" s="138">
        <v>1</v>
      </c>
      <c r="BN53" s="138"/>
      <c r="BO53" s="146"/>
      <c r="BP53" s="152"/>
      <c r="BQ53" s="152"/>
      <c r="BR53" s="152"/>
    </row>
    <row r="54" spans="1:70" x14ac:dyDescent="0.25">
      <c r="B54" s="118" t="s">
        <v>564</v>
      </c>
      <c r="C54" s="121">
        <v>45013</v>
      </c>
      <c r="D54" s="118">
        <v>10666.584657949999</v>
      </c>
      <c r="E54" s="138">
        <v>1</v>
      </c>
      <c r="F54" s="21"/>
      <c r="G54" s="138" t="s">
        <v>278</v>
      </c>
      <c r="H54" s="138">
        <v>25508.68</v>
      </c>
      <c r="I54" s="103"/>
      <c r="M54"/>
      <c r="O54" s="138" t="s">
        <v>278</v>
      </c>
      <c r="P54" s="138">
        <v>26075.46</v>
      </c>
      <c r="S54" s="138"/>
      <c r="T54" s="148"/>
      <c r="U54" s="148"/>
      <c r="V54" s="148"/>
      <c r="W54" s="148"/>
      <c r="X54" s="148"/>
      <c r="Z54" s="138" t="s">
        <v>650</v>
      </c>
      <c r="AA54" s="138">
        <v>0</v>
      </c>
      <c r="AB54" s="138">
        <v>0</v>
      </c>
      <c r="AC54" s="138">
        <v>0</v>
      </c>
      <c r="AD54" s="138">
        <v>0</v>
      </c>
      <c r="AE54" s="138">
        <v>1</v>
      </c>
      <c r="AF54" s="138"/>
      <c r="AG54" s="138" t="s">
        <v>650</v>
      </c>
      <c r="AH54" s="138">
        <v>0</v>
      </c>
      <c r="AI54" s="138">
        <v>0</v>
      </c>
      <c r="AJ54" s="138">
        <v>0</v>
      </c>
      <c r="AK54" s="138">
        <v>0</v>
      </c>
      <c r="AL54" s="138">
        <v>1</v>
      </c>
      <c r="AN54" s="138" t="s">
        <v>650</v>
      </c>
      <c r="AO54" s="138">
        <v>0</v>
      </c>
      <c r="AP54" s="138">
        <v>0</v>
      </c>
      <c r="AQ54" s="138">
        <v>0</v>
      </c>
      <c r="AR54" s="138">
        <v>0</v>
      </c>
      <c r="AS54" s="138">
        <v>1</v>
      </c>
      <c r="AU54" s="138" t="s">
        <v>650</v>
      </c>
      <c r="AV54" s="138">
        <v>0</v>
      </c>
      <c r="AW54" s="138">
        <v>0</v>
      </c>
      <c r="AX54" s="138">
        <v>0</v>
      </c>
      <c r="AY54" s="138">
        <v>0</v>
      </c>
      <c r="AZ54" s="138">
        <v>1</v>
      </c>
      <c r="BB54" s="138" t="s">
        <v>645</v>
      </c>
      <c r="BC54" s="138">
        <v>4994864.5</v>
      </c>
      <c r="BD54" s="138">
        <v>67</v>
      </c>
      <c r="BE54" s="138">
        <v>8</v>
      </c>
      <c r="BF54" s="138">
        <v>2225</v>
      </c>
      <c r="BG54" s="138">
        <v>1</v>
      </c>
      <c r="BH54" t="s">
        <v>645</v>
      </c>
      <c r="BI54" s="138">
        <v>2562292.5</v>
      </c>
      <c r="BJ54" s="138">
        <v>33</v>
      </c>
      <c r="BK54" s="138">
        <v>3</v>
      </c>
      <c r="BL54" s="138">
        <v>140</v>
      </c>
      <c r="BM54" s="138">
        <v>1</v>
      </c>
      <c r="BN54" s="138"/>
      <c r="BO54" s="146"/>
      <c r="BP54" s="152"/>
      <c r="BQ54" s="152"/>
      <c r="BR54" s="152"/>
    </row>
    <row r="55" spans="1:70" x14ac:dyDescent="0.25">
      <c r="B55" s="118" t="s">
        <v>565</v>
      </c>
      <c r="C55" s="121">
        <v>44603</v>
      </c>
      <c r="D55" s="118">
        <v>147.48193276000001</v>
      </c>
      <c r="E55" s="138">
        <v>1</v>
      </c>
      <c r="F55" s="31"/>
      <c r="G55" s="138" t="s">
        <v>534</v>
      </c>
      <c r="H55" s="138">
        <v>97952.088556799994</v>
      </c>
      <c r="I55" s="103"/>
      <c r="M55"/>
      <c r="O55" s="138" t="s">
        <v>534</v>
      </c>
      <c r="P55" s="138">
        <v>101946.3207617</v>
      </c>
      <c r="S55" s="138"/>
      <c r="T55" s="148"/>
      <c r="U55" s="148"/>
      <c r="V55" s="148"/>
      <c r="W55" s="148"/>
      <c r="X55" s="148"/>
      <c r="Z55" s="138" t="s">
        <v>651</v>
      </c>
      <c r="AA55" s="138">
        <v>5827851</v>
      </c>
      <c r="AB55" s="138">
        <v>246</v>
      </c>
      <c r="AC55" s="138">
        <v>19</v>
      </c>
      <c r="AD55" s="138">
        <v>4351</v>
      </c>
      <c r="AE55" s="138">
        <v>1</v>
      </c>
      <c r="AF55" s="138"/>
      <c r="AG55" s="138" t="s">
        <v>651</v>
      </c>
      <c r="AH55" s="138">
        <v>0</v>
      </c>
      <c r="AI55" s="138">
        <v>0</v>
      </c>
      <c r="AJ55" s="138">
        <v>0</v>
      </c>
      <c r="AK55" s="138">
        <v>183</v>
      </c>
      <c r="AL55" s="138">
        <v>1</v>
      </c>
      <c r="AN55" s="138" t="s">
        <v>651</v>
      </c>
      <c r="AO55" s="138">
        <v>3911460</v>
      </c>
      <c r="AP55" s="138">
        <v>155</v>
      </c>
      <c r="AQ55" s="138">
        <v>24</v>
      </c>
      <c r="AR55" s="138">
        <v>4147</v>
      </c>
      <c r="AS55" s="138">
        <v>1</v>
      </c>
      <c r="AU55" s="138" t="s">
        <v>651</v>
      </c>
      <c r="AV55" s="138">
        <v>843200</v>
      </c>
      <c r="AW55" s="138">
        <v>34</v>
      </c>
      <c r="AX55" s="138">
        <v>2</v>
      </c>
      <c r="AY55" s="138">
        <v>248</v>
      </c>
      <c r="AZ55" s="138">
        <v>1</v>
      </c>
      <c r="BB55" s="138" t="s">
        <v>646</v>
      </c>
      <c r="BC55" s="138">
        <v>13171514.58</v>
      </c>
      <c r="BD55" s="138">
        <v>92</v>
      </c>
      <c r="BE55" s="138">
        <v>10</v>
      </c>
      <c r="BF55" s="138">
        <v>1375</v>
      </c>
      <c r="BG55" s="138">
        <v>1</v>
      </c>
      <c r="BH55" t="s">
        <v>646</v>
      </c>
      <c r="BI55" s="138">
        <v>0</v>
      </c>
      <c r="BJ55" s="138">
        <v>0</v>
      </c>
      <c r="BK55" s="138">
        <v>0</v>
      </c>
      <c r="BL55" s="138">
        <v>70</v>
      </c>
      <c r="BM55" s="138">
        <v>1</v>
      </c>
      <c r="BN55" s="138"/>
      <c r="BO55" s="102" t="s">
        <v>460</v>
      </c>
      <c r="BP55" s="153"/>
      <c r="BQ55" s="153"/>
      <c r="BR55" s="152"/>
    </row>
    <row r="56" spans="1:70" x14ac:dyDescent="0.25">
      <c r="B56" s="118" t="s">
        <v>343</v>
      </c>
      <c r="C56" s="121">
        <v>43165</v>
      </c>
      <c r="D56" s="118">
        <v>14437.3</v>
      </c>
      <c r="E56" s="138">
        <v>1</v>
      </c>
      <c r="F56" s="31"/>
      <c r="G56" s="138" t="s">
        <v>96</v>
      </c>
      <c r="H56" s="138">
        <v>419.89897844000001</v>
      </c>
      <c r="I56" s="103"/>
      <c r="M56"/>
      <c r="O56" s="138" t="s">
        <v>96</v>
      </c>
      <c r="P56" s="138">
        <v>447.55505651999999</v>
      </c>
      <c r="S56" s="138"/>
      <c r="T56" s="148"/>
      <c r="U56" s="148"/>
      <c r="V56" s="148"/>
      <c r="W56" s="148"/>
      <c r="X56" s="148"/>
      <c r="Z56" s="138" t="s">
        <v>652</v>
      </c>
      <c r="AA56" s="138">
        <v>4724420</v>
      </c>
      <c r="AB56" s="138">
        <v>17</v>
      </c>
      <c r="AC56" s="138">
        <v>3</v>
      </c>
      <c r="AD56" s="138">
        <v>159</v>
      </c>
      <c r="AE56" s="138">
        <v>1</v>
      </c>
      <c r="AF56" s="138"/>
      <c r="AG56" s="138" t="s">
        <v>652</v>
      </c>
      <c r="AH56" s="138">
        <v>0</v>
      </c>
      <c r="AI56" s="138">
        <v>0</v>
      </c>
      <c r="AJ56" s="138">
        <v>0</v>
      </c>
      <c r="AK56" s="138">
        <v>18</v>
      </c>
      <c r="AL56" s="138">
        <v>1</v>
      </c>
      <c r="AN56" s="138" t="s">
        <v>652</v>
      </c>
      <c r="AO56" s="138">
        <v>545000</v>
      </c>
      <c r="AP56" s="138">
        <v>2</v>
      </c>
      <c r="AQ56" s="138">
        <v>1</v>
      </c>
      <c r="AR56" s="138">
        <v>85</v>
      </c>
      <c r="AS56" s="138">
        <v>1</v>
      </c>
      <c r="AU56" s="138" t="s">
        <v>652</v>
      </c>
      <c r="AV56" s="138">
        <v>0</v>
      </c>
      <c r="AW56" s="138">
        <v>0</v>
      </c>
      <c r="AX56" s="138">
        <v>0</v>
      </c>
      <c r="AY56" s="138">
        <v>5</v>
      </c>
      <c r="AZ56" s="138">
        <v>1</v>
      </c>
      <c r="BB56" s="138" t="s">
        <v>647</v>
      </c>
      <c r="BC56" s="138">
        <v>43919180</v>
      </c>
      <c r="BD56" s="138">
        <v>147</v>
      </c>
      <c r="BE56" s="138">
        <v>37</v>
      </c>
      <c r="BF56" s="138">
        <v>4539</v>
      </c>
      <c r="BG56" s="138">
        <v>1</v>
      </c>
      <c r="BH56" t="s">
        <v>647</v>
      </c>
      <c r="BI56" s="138">
        <v>2317570</v>
      </c>
      <c r="BJ56" s="138">
        <v>8</v>
      </c>
      <c r="BK56" s="138">
        <v>3</v>
      </c>
      <c r="BL56" s="138">
        <v>221</v>
      </c>
      <c r="BM56" s="138">
        <v>1</v>
      </c>
      <c r="BN56" s="138"/>
      <c r="BP56" s="152"/>
      <c r="BQ56" s="152"/>
      <c r="BR56" s="152"/>
    </row>
    <row r="57" spans="1:70" x14ac:dyDescent="0.25">
      <c r="B57" s="118" t="s">
        <v>346</v>
      </c>
      <c r="C57" s="121">
        <v>42374</v>
      </c>
      <c r="D57" s="118">
        <v>13453.03</v>
      </c>
      <c r="E57" s="138">
        <v>1</v>
      </c>
      <c r="F57" s="31"/>
      <c r="G57" s="138" t="s">
        <v>98</v>
      </c>
      <c r="H57" s="138">
        <v>1023.14704611</v>
      </c>
      <c r="I57" s="103"/>
      <c r="M57"/>
      <c r="O57" s="138" t="s">
        <v>98</v>
      </c>
      <c r="P57" s="138">
        <v>1044.2965540600001</v>
      </c>
      <c r="S57" s="138"/>
      <c r="T57" s="148"/>
      <c r="U57" s="148"/>
      <c r="V57" s="148"/>
      <c r="W57" s="148"/>
      <c r="X57" s="148"/>
      <c r="Z57" s="138" t="s">
        <v>653</v>
      </c>
      <c r="AA57" s="138">
        <v>33593020</v>
      </c>
      <c r="AB57" s="138">
        <v>220</v>
      </c>
      <c r="AC57" s="138">
        <v>16</v>
      </c>
      <c r="AD57" s="138">
        <v>1385</v>
      </c>
      <c r="AE57" s="138">
        <v>1</v>
      </c>
      <c r="AF57" s="138"/>
      <c r="AG57" s="138" t="s">
        <v>653</v>
      </c>
      <c r="AH57" s="138">
        <v>1380000</v>
      </c>
      <c r="AI57" s="138">
        <v>10</v>
      </c>
      <c r="AJ57" s="138">
        <v>1</v>
      </c>
      <c r="AK57" s="138">
        <v>34</v>
      </c>
      <c r="AL57" s="138">
        <v>1</v>
      </c>
      <c r="AN57" s="138" t="s">
        <v>653</v>
      </c>
      <c r="AO57" s="138">
        <v>3923150.06</v>
      </c>
      <c r="AP57" s="138">
        <v>24</v>
      </c>
      <c r="AQ57" s="138">
        <v>2</v>
      </c>
      <c r="AR57" s="138">
        <v>2573</v>
      </c>
      <c r="AS57" s="138">
        <v>1</v>
      </c>
      <c r="AU57" s="138" t="s">
        <v>653</v>
      </c>
      <c r="AV57" s="138">
        <v>0</v>
      </c>
      <c r="AW57" s="138">
        <v>0</v>
      </c>
      <c r="AX57" s="138">
        <v>0</v>
      </c>
      <c r="AY57" s="138">
        <v>163</v>
      </c>
      <c r="AZ57" s="138">
        <v>1</v>
      </c>
      <c r="BB57" s="138" t="s">
        <v>648</v>
      </c>
      <c r="BC57" s="138">
        <v>37276130</v>
      </c>
      <c r="BD57" s="138">
        <v>201</v>
      </c>
      <c r="BE57" s="138">
        <v>35</v>
      </c>
      <c r="BF57" s="138">
        <v>1703</v>
      </c>
      <c r="BG57" s="138">
        <v>1</v>
      </c>
      <c r="BH57" t="s">
        <v>648</v>
      </c>
      <c r="BI57" s="138">
        <v>372960</v>
      </c>
      <c r="BJ57" s="138">
        <v>2</v>
      </c>
      <c r="BK57" s="138">
        <v>1</v>
      </c>
      <c r="BL57" s="138">
        <v>45</v>
      </c>
      <c r="BM57" s="138">
        <v>1</v>
      </c>
      <c r="BN57" s="138"/>
      <c r="BP57" s="152"/>
      <c r="BQ57" s="152"/>
      <c r="BR57" s="152"/>
    </row>
    <row r="58" spans="1:70" x14ac:dyDescent="0.25">
      <c r="B58" s="118" t="s">
        <v>348</v>
      </c>
      <c r="C58" s="121">
        <v>42310</v>
      </c>
      <c r="D58" s="118">
        <v>11222.21</v>
      </c>
      <c r="E58" s="138">
        <v>1</v>
      </c>
      <c r="F58" s="31"/>
      <c r="G58" s="138" t="s">
        <v>286</v>
      </c>
      <c r="H58" s="138">
        <v>3289.7610699699999</v>
      </c>
      <c r="I58" s="103"/>
      <c r="M58"/>
      <c r="O58" s="138" t="s">
        <v>286</v>
      </c>
      <c r="P58" s="138">
        <v>3376.2371551599999</v>
      </c>
      <c r="Z58" s="138" t="s">
        <v>654</v>
      </c>
      <c r="AA58" s="138">
        <v>16186889.994999999</v>
      </c>
      <c r="AB58" s="138">
        <v>81</v>
      </c>
      <c r="AC58" s="138">
        <v>9</v>
      </c>
      <c r="AD58" s="138">
        <v>936</v>
      </c>
      <c r="AE58" s="138">
        <v>1</v>
      </c>
      <c r="AF58" s="138"/>
      <c r="AG58" s="138" t="s">
        <v>654</v>
      </c>
      <c r="AH58" s="138">
        <v>0</v>
      </c>
      <c r="AI58" s="138">
        <v>0</v>
      </c>
      <c r="AJ58" s="138">
        <v>0</v>
      </c>
      <c r="AK58" s="138">
        <v>30</v>
      </c>
      <c r="AL58" s="138">
        <v>1</v>
      </c>
      <c r="AN58" s="138" t="s">
        <v>654</v>
      </c>
      <c r="AO58" s="138">
        <v>5363690</v>
      </c>
      <c r="AP58" s="138">
        <v>27</v>
      </c>
      <c r="AQ58" s="138">
        <v>7</v>
      </c>
      <c r="AR58" s="138">
        <v>536</v>
      </c>
      <c r="AS58" s="138">
        <v>1</v>
      </c>
      <c r="AU58" s="138" t="s">
        <v>654</v>
      </c>
      <c r="AV58" s="138">
        <v>201100</v>
      </c>
      <c r="AW58" s="138">
        <v>1</v>
      </c>
      <c r="AX58" s="138">
        <v>1</v>
      </c>
      <c r="AY58" s="138">
        <v>34</v>
      </c>
      <c r="AZ58" s="138">
        <v>1</v>
      </c>
      <c r="BB58" s="138" t="s">
        <v>649</v>
      </c>
      <c r="BC58" s="138">
        <v>1104641733.6500001</v>
      </c>
      <c r="BD58" s="138">
        <v>2991</v>
      </c>
      <c r="BE58" s="138">
        <v>449</v>
      </c>
      <c r="BF58" s="138">
        <v>35453</v>
      </c>
      <c r="BG58" s="138">
        <v>1</v>
      </c>
      <c r="BH58" t="s">
        <v>649</v>
      </c>
      <c r="BI58" s="138">
        <v>69539789.989999995</v>
      </c>
      <c r="BJ58" s="138">
        <v>197</v>
      </c>
      <c r="BK58" s="138">
        <v>13</v>
      </c>
      <c r="BL58" s="138">
        <v>1501</v>
      </c>
      <c r="BM58" s="138">
        <v>1</v>
      </c>
      <c r="BN58" s="138"/>
      <c r="BP58" s="152"/>
      <c r="BQ58" s="152"/>
      <c r="BR58" s="152"/>
    </row>
    <row r="59" spans="1:70" x14ac:dyDescent="0.25">
      <c r="B59" s="118" t="s">
        <v>360</v>
      </c>
      <c r="C59" s="121">
        <v>42222</v>
      </c>
      <c r="D59" s="118">
        <v>26117.47</v>
      </c>
      <c r="E59" s="138">
        <v>1</v>
      </c>
      <c r="G59" s="138" t="s">
        <v>59</v>
      </c>
      <c r="H59" s="138">
        <v>12573.414097929999</v>
      </c>
      <c r="I59" s="103"/>
      <c r="M59"/>
      <c r="O59" s="138" t="s">
        <v>59</v>
      </c>
      <c r="P59" s="138">
        <v>13348.42313458</v>
      </c>
      <c r="Z59" s="138" t="s">
        <v>655</v>
      </c>
      <c r="AA59" s="138">
        <v>15052130</v>
      </c>
      <c r="AB59" s="138">
        <v>138</v>
      </c>
      <c r="AC59" s="138">
        <v>5</v>
      </c>
      <c r="AD59" s="138">
        <v>1692</v>
      </c>
      <c r="AE59" s="138">
        <v>1</v>
      </c>
      <c r="AF59" s="138"/>
      <c r="AG59" s="138" t="s">
        <v>655</v>
      </c>
      <c r="AH59" s="138">
        <v>0</v>
      </c>
      <c r="AI59" s="138">
        <v>0</v>
      </c>
      <c r="AJ59" s="138">
        <v>0</v>
      </c>
      <c r="AK59" s="138">
        <v>66</v>
      </c>
      <c r="AL59" s="138">
        <v>1</v>
      </c>
      <c r="AN59" s="138" t="s">
        <v>655</v>
      </c>
      <c r="AO59" s="138">
        <v>4038630</v>
      </c>
      <c r="AP59" s="138">
        <v>37</v>
      </c>
      <c r="AQ59" s="138">
        <v>5</v>
      </c>
      <c r="AR59" s="138">
        <v>1614</v>
      </c>
      <c r="AS59" s="138">
        <v>1</v>
      </c>
      <c r="AU59" s="138" t="s">
        <v>655</v>
      </c>
      <c r="AV59" s="138">
        <v>0</v>
      </c>
      <c r="AW59" s="138">
        <v>0</v>
      </c>
      <c r="AX59" s="138">
        <v>0</v>
      </c>
      <c r="AY59" s="138">
        <v>96</v>
      </c>
      <c r="AZ59" s="138">
        <v>1</v>
      </c>
      <c r="BB59" s="138" t="s">
        <v>650</v>
      </c>
      <c r="BC59" s="138">
        <v>0</v>
      </c>
      <c r="BD59" s="138">
        <v>0</v>
      </c>
      <c r="BE59" s="138">
        <v>0</v>
      </c>
      <c r="BF59" s="138">
        <v>0</v>
      </c>
      <c r="BG59" s="138">
        <v>1</v>
      </c>
      <c r="BH59" t="s">
        <v>650</v>
      </c>
      <c r="BI59" s="138">
        <v>0</v>
      </c>
      <c r="BJ59" s="138">
        <v>0</v>
      </c>
      <c r="BK59" s="138">
        <v>0</v>
      </c>
      <c r="BL59" s="138">
        <v>0</v>
      </c>
      <c r="BM59" s="138">
        <v>1</v>
      </c>
      <c r="BN59" s="138"/>
      <c r="BO59" s="102" t="s">
        <v>442</v>
      </c>
      <c r="BP59" s="153" t="s">
        <v>523</v>
      </c>
      <c r="BQ59" s="153" t="s">
        <v>630</v>
      </c>
      <c r="BR59" s="153" t="s">
        <v>631</v>
      </c>
    </row>
    <row r="60" spans="1:70" x14ac:dyDescent="0.25">
      <c r="B60" s="118" t="s">
        <v>367</v>
      </c>
      <c r="C60" s="121">
        <v>43125</v>
      </c>
      <c r="D60" s="118">
        <v>15343.72</v>
      </c>
      <c r="E60" s="138">
        <v>1</v>
      </c>
      <c r="G60" s="138" t="s">
        <v>52</v>
      </c>
      <c r="H60" s="138">
        <v>13719.81231997</v>
      </c>
      <c r="I60" s="103"/>
      <c r="M60"/>
      <c r="O60" s="138" t="s">
        <v>52</v>
      </c>
      <c r="P60" s="138">
        <v>14593.558735619999</v>
      </c>
      <c r="S60" s="139"/>
      <c r="T60" s="147"/>
      <c r="U60" s="147"/>
      <c r="V60" s="147"/>
      <c r="W60" s="147"/>
      <c r="X60" s="147"/>
      <c r="Z60" s="138" t="s">
        <v>656</v>
      </c>
      <c r="AA60" s="138">
        <v>0</v>
      </c>
      <c r="AB60" s="138">
        <v>0</v>
      </c>
      <c r="AC60" s="138">
        <v>0</v>
      </c>
      <c r="AD60" s="138">
        <v>0</v>
      </c>
      <c r="AE60" s="138">
        <v>1</v>
      </c>
      <c r="AF60" s="138"/>
      <c r="AG60" s="138" t="s">
        <v>656</v>
      </c>
      <c r="AH60" s="138">
        <v>0</v>
      </c>
      <c r="AI60" s="138">
        <v>0</v>
      </c>
      <c r="AJ60" s="138">
        <v>0</v>
      </c>
      <c r="AK60" s="138">
        <v>0</v>
      </c>
      <c r="AL60" s="138">
        <v>1</v>
      </c>
      <c r="AN60" s="138" t="s">
        <v>656</v>
      </c>
      <c r="AO60" s="138">
        <v>0</v>
      </c>
      <c r="AP60" s="138">
        <v>0</v>
      </c>
      <c r="AQ60" s="138">
        <v>0</v>
      </c>
      <c r="AR60" s="138">
        <v>0</v>
      </c>
      <c r="AS60" s="138">
        <v>1</v>
      </c>
      <c r="AU60" s="138" t="s">
        <v>656</v>
      </c>
      <c r="AV60" s="138">
        <v>0</v>
      </c>
      <c r="AW60" s="138">
        <v>0</v>
      </c>
      <c r="AX60" s="138">
        <v>0</v>
      </c>
      <c r="AY60" s="138">
        <v>0</v>
      </c>
      <c r="AZ60" s="138">
        <v>1</v>
      </c>
      <c r="BB60" s="138" t="s">
        <v>651</v>
      </c>
      <c r="BC60" s="138">
        <v>3850624</v>
      </c>
      <c r="BD60" s="138">
        <v>47</v>
      </c>
      <c r="BE60" s="138">
        <v>10</v>
      </c>
      <c r="BF60" s="138">
        <v>1042</v>
      </c>
      <c r="BG60" s="138">
        <v>1</v>
      </c>
      <c r="BH60" t="s">
        <v>651</v>
      </c>
      <c r="BI60" s="138">
        <v>611520</v>
      </c>
      <c r="BJ60" s="138">
        <v>7</v>
      </c>
      <c r="BK60" s="138">
        <v>1</v>
      </c>
      <c r="BL60" s="138">
        <v>54</v>
      </c>
      <c r="BM60" s="138">
        <v>1</v>
      </c>
      <c r="BN60" s="138"/>
      <c r="BP60" s="152"/>
      <c r="BQ60" s="152"/>
      <c r="BR60" s="152"/>
    </row>
    <row r="61" spans="1:70" x14ac:dyDescent="0.25">
      <c r="A61" s="27"/>
      <c r="B61" s="118" t="s">
        <v>368</v>
      </c>
      <c r="C61" s="121">
        <v>43125</v>
      </c>
      <c r="D61" s="118">
        <v>18705.11</v>
      </c>
      <c r="E61" s="138">
        <v>1</v>
      </c>
      <c r="F61" s="12"/>
      <c r="G61" s="138" t="s">
        <v>535</v>
      </c>
      <c r="H61" s="138">
        <v>19660.8067739</v>
      </c>
      <c r="I61" s="103"/>
      <c r="M61"/>
      <c r="O61" s="138" t="s">
        <v>535</v>
      </c>
      <c r="P61" s="138">
        <v>20849.343519030001</v>
      </c>
      <c r="S61" s="138"/>
      <c r="T61" s="148"/>
      <c r="U61" s="148"/>
      <c r="V61" s="148"/>
      <c r="W61" s="148"/>
      <c r="X61" s="148"/>
      <c r="Z61" s="138" t="s">
        <v>657</v>
      </c>
      <c r="AA61" s="138">
        <v>31455125.75</v>
      </c>
      <c r="AB61" s="138">
        <v>136</v>
      </c>
      <c r="AC61" s="138">
        <v>24</v>
      </c>
      <c r="AD61" s="138">
        <v>2342</v>
      </c>
      <c r="AE61" s="138">
        <v>1</v>
      </c>
      <c r="AF61" s="138"/>
      <c r="AG61" s="138" t="s">
        <v>657</v>
      </c>
      <c r="AH61" s="138">
        <v>0</v>
      </c>
      <c r="AI61" s="138">
        <v>0</v>
      </c>
      <c r="AJ61" s="138">
        <v>0</v>
      </c>
      <c r="AK61" s="138">
        <v>106</v>
      </c>
      <c r="AL61" s="138">
        <v>1</v>
      </c>
      <c r="AN61" s="138" t="s">
        <v>657</v>
      </c>
      <c r="AO61" s="138">
        <v>27499024.75</v>
      </c>
      <c r="AP61" s="138">
        <v>119</v>
      </c>
      <c r="AQ61" s="138">
        <v>18</v>
      </c>
      <c r="AR61" s="138">
        <v>1708</v>
      </c>
      <c r="AS61" s="138">
        <v>1</v>
      </c>
      <c r="AU61" s="138" t="s">
        <v>657</v>
      </c>
      <c r="AV61" s="138">
        <v>0</v>
      </c>
      <c r="AW61" s="138">
        <v>0</v>
      </c>
      <c r="AX61" s="138">
        <v>0</v>
      </c>
      <c r="AY61" s="138">
        <v>103</v>
      </c>
      <c r="AZ61" s="138">
        <v>1</v>
      </c>
      <c r="BB61" s="138" t="s">
        <v>652</v>
      </c>
      <c r="BC61" s="138">
        <v>644970</v>
      </c>
      <c r="BD61" s="138">
        <v>2</v>
      </c>
      <c r="BE61" s="138">
        <v>2</v>
      </c>
      <c r="BF61" s="138">
        <v>66</v>
      </c>
      <c r="BG61" s="138">
        <v>1</v>
      </c>
      <c r="BH61" t="s">
        <v>652</v>
      </c>
      <c r="BI61" s="138">
        <v>0</v>
      </c>
      <c r="BJ61" s="138">
        <v>0</v>
      </c>
      <c r="BK61" s="138">
        <v>0</v>
      </c>
      <c r="BL61" s="138">
        <v>4</v>
      </c>
      <c r="BM61" s="138">
        <v>1</v>
      </c>
      <c r="BN61" s="138"/>
    </row>
    <row r="62" spans="1:70" x14ac:dyDescent="0.25">
      <c r="A62" s="12"/>
      <c r="B62" s="118" t="s">
        <v>587</v>
      </c>
      <c r="C62" s="121">
        <v>44467</v>
      </c>
      <c r="D62" s="118">
        <v>22652.05</v>
      </c>
      <c r="E62" s="138">
        <v>1</v>
      </c>
      <c r="F62" s="12"/>
      <c r="G62" s="138" t="s">
        <v>536</v>
      </c>
      <c r="H62" s="138">
        <v>20278.16010601</v>
      </c>
      <c r="I62" s="103"/>
      <c r="M62"/>
      <c r="O62" s="138" t="s">
        <v>536</v>
      </c>
      <c r="P62" s="138">
        <v>21561.8541878</v>
      </c>
      <c r="S62" s="138"/>
      <c r="T62" s="148"/>
      <c r="U62" s="148"/>
      <c r="V62" s="148"/>
      <c r="W62" s="148"/>
      <c r="X62" s="148"/>
      <c r="Z62" s="138" t="s">
        <v>658</v>
      </c>
      <c r="AA62" s="138">
        <v>43221149</v>
      </c>
      <c r="AB62" s="138">
        <v>341</v>
      </c>
      <c r="AC62" s="138">
        <v>23</v>
      </c>
      <c r="AD62" s="138">
        <v>2716</v>
      </c>
      <c r="AE62" s="138">
        <v>1</v>
      </c>
      <c r="AF62" s="138"/>
      <c r="AG62" s="138" t="s">
        <v>658</v>
      </c>
      <c r="AH62" s="138">
        <v>0</v>
      </c>
      <c r="AI62" s="138">
        <v>0</v>
      </c>
      <c r="AJ62" s="138">
        <v>0</v>
      </c>
      <c r="AK62" s="138">
        <v>97</v>
      </c>
      <c r="AL62" s="138">
        <v>1</v>
      </c>
      <c r="AN62" s="138" t="s">
        <v>658</v>
      </c>
      <c r="AO62" s="138">
        <v>5352900</v>
      </c>
      <c r="AP62" s="138">
        <v>42</v>
      </c>
      <c r="AQ62" s="138">
        <v>20</v>
      </c>
      <c r="AR62" s="138">
        <v>2096</v>
      </c>
      <c r="AS62" s="138">
        <v>1</v>
      </c>
      <c r="AU62" s="138" t="s">
        <v>658</v>
      </c>
      <c r="AV62" s="138">
        <v>0</v>
      </c>
      <c r="AW62" s="138">
        <v>0</v>
      </c>
      <c r="AX62" s="138">
        <v>0</v>
      </c>
      <c r="AY62" s="138">
        <v>129</v>
      </c>
      <c r="AZ62" s="138">
        <v>1</v>
      </c>
      <c r="BB62" s="138" t="s">
        <v>653</v>
      </c>
      <c r="BC62" s="138">
        <v>20477495</v>
      </c>
      <c r="BD62" s="138">
        <v>98</v>
      </c>
      <c r="BE62" s="138">
        <v>7</v>
      </c>
      <c r="BF62" s="138">
        <v>175</v>
      </c>
      <c r="BG62" s="138">
        <v>1</v>
      </c>
      <c r="BH62" t="s">
        <v>653</v>
      </c>
      <c r="BI62" s="138">
        <v>0</v>
      </c>
      <c r="BJ62" s="138">
        <v>0</v>
      </c>
      <c r="BK62" s="138">
        <v>0</v>
      </c>
      <c r="BL62" s="138">
        <v>2</v>
      </c>
      <c r="BM62" s="138">
        <v>1</v>
      </c>
      <c r="BN62" s="138"/>
      <c r="BO62" s="102" t="s">
        <v>457</v>
      </c>
      <c r="BP62" s="153" t="s">
        <v>523</v>
      </c>
      <c r="BQ62" s="153" t="s">
        <v>630</v>
      </c>
      <c r="BR62" s="153" t="s">
        <v>631</v>
      </c>
    </row>
    <row r="63" spans="1:70" x14ac:dyDescent="0.25">
      <c r="A63" s="12"/>
      <c r="B63" s="118" t="s">
        <v>594</v>
      </c>
      <c r="C63" s="121">
        <v>45076</v>
      </c>
      <c r="D63" s="118">
        <v>9056.6299999999992</v>
      </c>
      <c r="E63" s="138">
        <v>1</v>
      </c>
      <c r="F63" s="12"/>
      <c r="G63" s="138" t="s">
        <v>289</v>
      </c>
      <c r="H63" s="138">
        <v>4994.9306909099996</v>
      </c>
      <c r="I63" s="103"/>
      <c r="M63"/>
      <c r="O63" s="138" t="s">
        <v>289</v>
      </c>
      <c r="P63" s="138">
        <v>5417.5617309299996</v>
      </c>
      <c r="R63" s="101" t="s">
        <v>423</v>
      </c>
      <c r="S63" s="138"/>
      <c r="T63" s="148"/>
      <c r="U63" s="148"/>
      <c r="V63" s="148"/>
      <c r="W63" s="148"/>
      <c r="X63" s="148"/>
      <c r="Z63" s="138" t="s">
        <v>659</v>
      </c>
      <c r="AA63" s="138">
        <v>124516275.02</v>
      </c>
      <c r="AB63" s="138">
        <v>564</v>
      </c>
      <c r="AC63" s="138">
        <v>89</v>
      </c>
      <c r="AD63" s="138">
        <v>7091</v>
      </c>
      <c r="AE63" s="138">
        <v>1</v>
      </c>
      <c r="AF63" s="138"/>
      <c r="AG63" s="138" t="s">
        <v>659</v>
      </c>
      <c r="AH63" s="138">
        <v>1279000</v>
      </c>
      <c r="AI63" s="138">
        <v>6</v>
      </c>
      <c r="AJ63" s="138">
        <v>3</v>
      </c>
      <c r="AK63" s="138">
        <v>344</v>
      </c>
      <c r="AL63" s="138">
        <v>1</v>
      </c>
      <c r="AN63" s="138" t="s">
        <v>659</v>
      </c>
      <c r="AO63" s="138">
        <v>580905288.34500003</v>
      </c>
      <c r="AP63" s="138">
        <v>2601</v>
      </c>
      <c r="AQ63" s="138">
        <v>128</v>
      </c>
      <c r="AR63" s="138">
        <v>7638</v>
      </c>
      <c r="AS63" s="138">
        <v>1</v>
      </c>
      <c r="AU63" s="138" t="s">
        <v>659</v>
      </c>
      <c r="AV63" s="138">
        <v>218666146.59</v>
      </c>
      <c r="AW63" s="138">
        <v>1026</v>
      </c>
      <c r="AX63" s="138">
        <v>13</v>
      </c>
      <c r="AY63" s="138">
        <v>302</v>
      </c>
      <c r="AZ63" s="138">
        <v>1</v>
      </c>
      <c r="BB63" s="138" t="s">
        <v>654</v>
      </c>
      <c r="BC63" s="138">
        <v>1529640</v>
      </c>
      <c r="BD63" s="138">
        <v>10</v>
      </c>
      <c r="BE63" s="138">
        <v>8</v>
      </c>
      <c r="BF63" s="138">
        <v>1497</v>
      </c>
      <c r="BG63" s="138">
        <v>1</v>
      </c>
      <c r="BH63" t="s">
        <v>654</v>
      </c>
      <c r="BI63" s="138">
        <v>0</v>
      </c>
      <c r="BJ63" s="138">
        <v>0</v>
      </c>
      <c r="BK63" s="138">
        <v>0</v>
      </c>
      <c r="BL63" s="138">
        <v>73</v>
      </c>
      <c r="BM63" s="138">
        <v>1</v>
      </c>
      <c r="BN63" s="138"/>
      <c r="BO63" s="146"/>
      <c r="BP63" s="152"/>
      <c r="BQ63" s="152"/>
      <c r="BR63" s="152"/>
    </row>
    <row r="64" spans="1:70" x14ac:dyDescent="0.25">
      <c r="A64" s="12"/>
      <c r="B64" s="118" t="s">
        <v>595</v>
      </c>
      <c r="C64" s="121">
        <v>44567</v>
      </c>
      <c r="D64" s="118">
        <v>3326</v>
      </c>
      <c r="E64" s="138">
        <v>1</v>
      </c>
      <c r="F64" s="12"/>
      <c r="G64" s="138" t="s">
        <v>78</v>
      </c>
      <c r="H64" s="138">
        <v>35569.590223929998</v>
      </c>
      <c r="I64" s="103"/>
      <c r="J64" s="3"/>
      <c r="M64"/>
      <c r="O64" s="138" t="s">
        <v>78</v>
      </c>
      <c r="P64" s="138">
        <v>38566.217586879997</v>
      </c>
      <c r="S64" s="138"/>
      <c r="T64" s="148"/>
      <c r="U64" s="148"/>
      <c r="V64" s="148"/>
      <c r="W64" s="148"/>
      <c r="X64" s="148"/>
      <c r="Z64" s="138" t="s">
        <v>660</v>
      </c>
      <c r="AA64" s="138">
        <v>36544815085.874992</v>
      </c>
      <c r="AB64" s="138">
        <v>93824</v>
      </c>
      <c r="AC64" s="138">
        <v>9963</v>
      </c>
      <c r="AD64" s="138">
        <v>466183</v>
      </c>
      <c r="AE64" s="138">
        <v>1</v>
      </c>
      <c r="AF64" s="138"/>
      <c r="AG64" s="138" t="s">
        <v>660</v>
      </c>
      <c r="AH64" s="138">
        <v>1044191548.375</v>
      </c>
      <c r="AI64" s="138">
        <v>2656</v>
      </c>
      <c r="AJ64" s="138">
        <v>351</v>
      </c>
      <c r="AK64" s="138">
        <v>25124</v>
      </c>
      <c r="AL64" s="138">
        <v>1</v>
      </c>
      <c r="AN64" s="138" t="s">
        <v>660</v>
      </c>
      <c r="AO64" s="138">
        <v>24896886102.435001</v>
      </c>
      <c r="AP64" s="138">
        <v>64300</v>
      </c>
      <c r="AQ64" s="138">
        <v>7392</v>
      </c>
      <c r="AR64" s="138">
        <v>257496</v>
      </c>
      <c r="AS64" s="138">
        <v>1</v>
      </c>
      <c r="AU64" s="138" t="s">
        <v>660</v>
      </c>
      <c r="AV64" s="138">
        <v>2022089965.4449999</v>
      </c>
      <c r="AW64" s="138">
        <v>5387</v>
      </c>
      <c r="AX64" s="138">
        <v>367</v>
      </c>
      <c r="AY64" s="138">
        <v>17511</v>
      </c>
      <c r="AZ64" s="138">
        <v>1</v>
      </c>
      <c r="BB64" s="138" t="s">
        <v>655</v>
      </c>
      <c r="BC64" s="138">
        <v>13405780.039999999</v>
      </c>
      <c r="BD64" s="138">
        <v>137</v>
      </c>
      <c r="BE64" s="138">
        <v>20</v>
      </c>
      <c r="BF64" s="138">
        <v>782</v>
      </c>
      <c r="BG64" s="138">
        <v>1</v>
      </c>
      <c r="BH64" t="s">
        <v>655</v>
      </c>
      <c r="BI64" s="138">
        <v>0</v>
      </c>
      <c r="BJ64" s="138">
        <v>0</v>
      </c>
      <c r="BK64" s="138">
        <v>0</v>
      </c>
      <c r="BL64" s="138">
        <v>25</v>
      </c>
      <c r="BM64" s="138">
        <v>1</v>
      </c>
      <c r="BN64" s="138"/>
    </row>
    <row r="65" spans="1:70" x14ac:dyDescent="0.25">
      <c r="A65" s="12"/>
      <c r="B65" s="118" t="s">
        <v>619</v>
      </c>
      <c r="C65" s="121">
        <v>44700</v>
      </c>
      <c r="D65" s="118">
        <v>2700</v>
      </c>
      <c r="E65" s="138">
        <v>1</v>
      </c>
      <c r="F65" s="12"/>
      <c r="G65" s="138" t="s">
        <v>294</v>
      </c>
      <c r="H65" s="138">
        <v>7989.9637424399998</v>
      </c>
      <c r="I65" s="103"/>
      <c r="J65" s="3"/>
      <c r="M65"/>
      <c r="O65" s="138" t="s">
        <v>294</v>
      </c>
      <c r="P65" s="138">
        <v>8833.0012382200002</v>
      </c>
      <c r="S65" s="138"/>
      <c r="T65" s="148"/>
      <c r="U65" s="148"/>
      <c r="V65" s="148"/>
      <c r="W65" s="148"/>
      <c r="X65" s="148"/>
      <c r="Z65" s="138" t="s">
        <v>661</v>
      </c>
      <c r="AA65" s="138">
        <v>3611720820.73</v>
      </c>
      <c r="AB65" s="138">
        <v>4093</v>
      </c>
      <c r="AC65" s="138">
        <v>349</v>
      </c>
      <c r="AD65" s="138">
        <v>47053</v>
      </c>
      <c r="AE65" s="138">
        <v>1</v>
      </c>
      <c r="AF65" s="138"/>
      <c r="AG65" s="138" t="s">
        <v>661</v>
      </c>
      <c r="AH65" s="138">
        <v>67867349.109999999</v>
      </c>
      <c r="AI65" s="138">
        <v>79</v>
      </c>
      <c r="AJ65" s="138">
        <v>14</v>
      </c>
      <c r="AK65" s="138">
        <v>2515</v>
      </c>
      <c r="AL65" s="138">
        <v>1</v>
      </c>
      <c r="AN65" s="138" t="s">
        <v>661</v>
      </c>
      <c r="AO65" s="138">
        <v>5536474914.3699999</v>
      </c>
      <c r="AP65" s="138">
        <v>5821</v>
      </c>
      <c r="AQ65" s="138">
        <v>371</v>
      </c>
      <c r="AR65" s="138">
        <v>33065</v>
      </c>
      <c r="AS65" s="138">
        <v>1</v>
      </c>
      <c r="AU65" s="138" t="s">
        <v>661</v>
      </c>
      <c r="AV65" s="138">
        <v>159303997.69</v>
      </c>
      <c r="AW65" s="138">
        <v>180</v>
      </c>
      <c r="AX65" s="138">
        <v>13</v>
      </c>
      <c r="AY65" s="138">
        <v>1583</v>
      </c>
      <c r="AZ65" s="138">
        <v>1</v>
      </c>
      <c r="BB65" s="138" t="s">
        <v>670</v>
      </c>
      <c r="BC65" s="138">
        <v>0</v>
      </c>
      <c r="BD65" s="138">
        <v>0</v>
      </c>
      <c r="BE65" s="138">
        <v>0</v>
      </c>
      <c r="BF65" s="138">
        <v>0</v>
      </c>
      <c r="BG65" s="138">
        <v>1</v>
      </c>
      <c r="BH65" t="s">
        <v>670</v>
      </c>
      <c r="BI65" s="138">
        <v>0</v>
      </c>
      <c r="BJ65" s="138">
        <v>0</v>
      </c>
      <c r="BK65" s="138">
        <v>0</v>
      </c>
      <c r="BL65" s="138">
        <v>0</v>
      </c>
      <c r="BM65" s="138">
        <v>1</v>
      </c>
      <c r="BN65" s="138"/>
      <c r="BO65" s="102" t="s">
        <v>443</v>
      </c>
      <c r="BP65" s="153" t="s">
        <v>523</v>
      </c>
      <c r="BQ65" s="153" t="s">
        <v>630</v>
      </c>
      <c r="BR65" s="153" t="s">
        <v>631</v>
      </c>
    </row>
    <row r="66" spans="1:70" x14ac:dyDescent="0.25">
      <c r="A66" s="52"/>
      <c r="B66" s="118" t="s">
        <v>604</v>
      </c>
      <c r="C66" s="121">
        <v>44673</v>
      </c>
      <c r="D66" s="118">
        <v>36436.82</v>
      </c>
      <c r="E66" s="138">
        <v>1</v>
      </c>
      <c r="F66" s="136"/>
      <c r="G66" s="138" t="s">
        <v>537</v>
      </c>
      <c r="H66" s="138">
        <v>6597.4137221800001</v>
      </c>
      <c r="I66" s="103"/>
      <c r="J66" s="3"/>
      <c r="M66"/>
      <c r="O66" s="138" t="s">
        <v>537</v>
      </c>
      <c r="P66" s="138">
        <v>6932.2484011500001</v>
      </c>
      <c r="S66" s="138"/>
      <c r="T66" s="148"/>
      <c r="U66" s="148"/>
      <c r="V66" s="148"/>
      <c r="W66" s="148"/>
      <c r="X66" s="148"/>
      <c r="Z66" s="138" t="s">
        <v>662</v>
      </c>
      <c r="AA66" s="138">
        <v>27120000.02</v>
      </c>
      <c r="AB66" s="138">
        <v>31</v>
      </c>
      <c r="AC66" s="138">
        <v>8</v>
      </c>
      <c r="AD66" s="138">
        <v>867</v>
      </c>
      <c r="AE66" s="138">
        <v>1</v>
      </c>
      <c r="AF66" s="138"/>
      <c r="AG66" s="138" t="s">
        <v>662</v>
      </c>
      <c r="AH66" s="138">
        <v>0</v>
      </c>
      <c r="AI66" s="138">
        <v>0</v>
      </c>
      <c r="AJ66" s="138">
        <v>0</v>
      </c>
      <c r="AK66" s="138">
        <v>34</v>
      </c>
      <c r="AL66" s="138">
        <v>1</v>
      </c>
      <c r="AN66" s="138" t="s">
        <v>662</v>
      </c>
      <c r="AO66" s="138">
        <v>244245174.83000001</v>
      </c>
      <c r="AP66" s="138">
        <v>269</v>
      </c>
      <c r="AQ66" s="138">
        <v>17</v>
      </c>
      <c r="AR66" s="138">
        <v>1324</v>
      </c>
      <c r="AS66" s="138">
        <v>1</v>
      </c>
      <c r="AU66" s="138" t="s">
        <v>662</v>
      </c>
      <c r="AV66" s="138">
        <v>0</v>
      </c>
      <c r="AW66" s="138">
        <v>0</v>
      </c>
      <c r="AX66" s="138">
        <v>0</v>
      </c>
      <c r="AY66" s="138">
        <v>65</v>
      </c>
      <c r="AZ66" s="138">
        <v>1</v>
      </c>
      <c r="BB66" s="138" t="s">
        <v>671</v>
      </c>
      <c r="BC66" s="138">
        <v>0</v>
      </c>
      <c r="BD66" s="138">
        <v>0</v>
      </c>
      <c r="BE66" s="138">
        <v>0</v>
      </c>
      <c r="BF66" s="138">
        <v>0</v>
      </c>
      <c r="BG66" s="138">
        <v>1</v>
      </c>
      <c r="BH66" t="s">
        <v>671</v>
      </c>
      <c r="BI66" s="138">
        <v>0</v>
      </c>
      <c r="BJ66" s="138">
        <v>0</v>
      </c>
      <c r="BK66" s="138">
        <v>0</v>
      </c>
      <c r="BL66" s="138">
        <v>0</v>
      </c>
      <c r="BM66" s="138">
        <v>1</v>
      </c>
      <c r="BN66" s="138"/>
      <c r="BP66" s="152"/>
      <c r="BQ66" s="152"/>
      <c r="BR66" s="152"/>
    </row>
    <row r="67" spans="1:70" x14ac:dyDescent="0.25">
      <c r="A67" s="52"/>
      <c r="B67" s="118" t="s">
        <v>615</v>
      </c>
      <c r="C67" s="121">
        <v>44816</v>
      </c>
      <c r="D67" s="118">
        <v>1882.61</v>
      </c>
      <c r="E67" s="138">
        <v>1</v>
      </c>
      <c r="F67" s="134"/>
      <c r="G67" s="138" t="s">
        <v>538</v>
      </c>
      <c r="H67" s="138">
        <v>7347.6793441099999</v>
      </c>
      <c r="I67" s="103"/>
      <c r="J67" s="3"/>
      <c r="M67"/>
      <c r="O67" s="138" t="s">
        <v>538</v>
      </c>
      <c r="P67" s="138">
        <v>7844.9057533900004</v>
      </c>
      <c r="S67" s="138"/>
      <c r="T67" s="148"/>
      <c r="U67" s="148"/>
      <c r="V67" s="148"/>
      <c r="W67" s="148"/>
      <c r="X67" s="148"/>
      <c r="Z67" s="138" t="s">
        <v>663</v>
      </c>
      <c r="AA67" s="138">
        <v>23250700</v>
      </c>
      <c r="AB67" s="138">
        <v>43</v>
      </c>
      <c r="AC67" s="138">
        <v>5</v>
      </c>
      <c r="AD67" s="138">
        <v>76</v>
      </c>
      <c r="AE67" s="138">
        <v>1</v>
      </c>
      <c r="AF67" s="138"/>
      <c r="AG67" s="138" t="s">
        <v>663</v>
      </c>
      <c r="AH67" s="138">
        <v>0</v>
      </c>
      <c r="AI67" s="138">
        <v>0</v>
      </c>
      <c r="AJ67" s="138">
        <v>0</v>
      </c>
      <c r="AK67" s="138">
        <v>0</v>
      </c>
      <c r="AL67" s="138">
        <v>1</v>
      </c>
      <c r="AN67" s="138" t="s">
        <v>663</v>
      </c>
      <c r="AO67" s="138">
        <v>26988958.1525</v>
      </c>
      <c r="AP67" s="138">
        <v>50</v>
      </c>
      <c r="AQ67" s="138">
        <v>9</v>
      </c>
      <c r="AR67" s="138">
        <v>167</v>
      </c>
      <c r="AS67" s="138">
        <v>1</v>
      </c>
      <c r="AU67" s="138" t="s">
        <v>663</v>
      </c>
      <c r="AV67" s="138">
        <v>0</v>
      </c>
      <c r="AW67" s="138">
        <v>0</v>
      </c>
      <c r="AX67" s="138">
        <v>0</v>
      </c>
      <c r="AY67" s="138">
        <v>17</v>
      </c>
      <c r="AZ67" s="138">
        <v>1</v>
      </c>
      <c r="BB67" s="138" t="s">
        <v>672</v>
      </c>
      <c r="BC67" s="138">
        <v>0</v>
      </c>
      <c r="BD67" s="138">
        <v>0</v>
      </c>
      <c r="BE67" s="138">
        <v>0</v>
      </c>
      <c r="BF67" s="138">
        <v>0</v>
      </c>
      <c r="BG67" s="138">
        <v>1</v>
      </c>
      <c r="BH67" t="s">
        <v>672</v>
      </c>
      <c r="BI67" s="138">
        <v>0</v>
      </c>
      <c r="BJ67" s="138">
        <v>0</v>
      </c>
      <c r="BK67" s="138">
        <v>0</v>
      </c>
      <c r="BL67" s="138">
        <v>0</v>
      </c>
      <c r="BM67" s="138">
        <v>1</v>
      </c>
      <c r="BN67" s="138"/>
    </row>
    <row r="68" spans="1:70" x14ac:dyDescent="0.25">
      <c r="A68" s="52"/>
      <c r="B68" s="118" t="s">
        <v>378</v>
      </c>
      <c r="C68" s="121">
        <v>38006</v>
      </c>
      <c r="D68" s="118">
        <v>106.83</v>
      </c>
      <c r="E68" s="138">
        <v>1</v>
      </c>
      <c r="F68" s="134"/>
      <c r="G68" s="138" t="s">
        <v>539</v>
      </c>
      <c r="H68" s="138">
        <v>4743.97742655</v>
      </c>
      <c r="I68" s="103"/>
      <c r="J68" s="3"/>
      <c r="M68"/>
      <c r="O68" s="138" t="s">
        <v>539</v>
      </c>
      <c r="P68" s="138">
        <v>5321.34286694</v>
      </c>
      <c r="S68" s="138"/>
      <c r="T68" s="148"/>
      <c r="U68" s="148"/>
      <c r="V68" s="148"/>
      <c r="W68" s="148"/>
      <c r="X68" s="148"/>
      <c r="Z68" s="138" t="s">
        <v>664</v>
      </c>
      <c r="AA68" s="138">
        <v>28811887.5</v>
      </c>
      <c r="AB68" s="138">
        <v>437</v>
      </c>
      <c r="AC68" s="138">
        <v>20</v>
      </c>
      <c r="AD68" s="138">
        <v>3432</v>
      </c>
      <c r="AE68" s="138">
        <v>1</v>
      </c>
      <c r="AF68" s="138"/>
      <c r="AG68" s="138" t="s">
        <v>664</v>
      </c>
      <c r="AH68" s="138">
        <v>0</v>
      </c>
      <c r="AI68" s="138">
        <v>0</v>
      </c>
      <c r="AJ68" s="138">
        <v>0</v>
      </c>
      <c r="AK68" s="138">
        <v>69</v>
      </c>
      <c r="AL68" s="138">
        <v>1</v>
      </c>
      <c r="AN68" s="138" t="s">
        <v>664</v>
      </c>
      <c r="AO68" s="138">
        <v>20290186</v>
      </c>
      <c r="AP68" s="138">
        <v>281</v>
      </c>
      <c r="AQ68" s="138">
        <v>18</v>
      </c>
      <c r="AR68" s="138">
        <v>2589</v>
      </c>
      <c r="AS68" s="138">
        <v>1</v>
      </c>
      <c r="AU68" s="138" t="s">
        <v>664</v>
      </c>
      <c r="AV68" s="138">
        <v>1292900</v>
      </c>
      <c r="AW68" s="138">
        <v>20</v>
      </c>
      <c r="AX68" s="138">
        <v>3</v>
      </c>
      <c r="AY68" s="138">
        <v>228</v>
      </c>
      <c r="AZ68" s="138">
        <v>1</v>
      </c>
      <c r="BB68" s="138" t="s">
        <v>656</v>
      </c>
      <c r="BC68" s="138">
        <v>0</v>
      </c>
      <c r="BD68" s="138">
        <v>0</v>
      </c>
      <c r="BE68" s="138">
        <v>0</v>
      </c>
      <c r="BF68" s="138">
        <v>0</v>
      </c>
      <c r="BG68" s="138">
        <v>1</v>
      </c>
      <c r="BH68" t="s">
        <v>656</v>
      </c>
      <c r="BI68" s="138">
        <v>0</v>
      </c>
      <c r="BJ68" s="138">
        <v>0</v>
      </c>
      <c r="BK68" s="138">
        <v>0</v>
      </c>
      <c r="BL68" s="138">
        <v>0</v>
      </c>
      <c r="BM68" s="138">
        <v>1</v>
      </c>
      <c r="BN68" s="138"/>
      <c r="BO68" s="102" t="s">
        <v>444</v>
      </c>
      <c r="BP68" s="153" t="s">
        <v>523</v>
      </c>
      <c r="BQ68" s="153" t="s">
        <v>630</v>
      </c>
      <c r="BR68" s="153" t="s">
        <v>631</v>
      </c>
    </row>
    <row r="69" spans="1:70" x14ac:dyDescent="0.25">
      <c r="A69" s="52"/>
      <c r="B69" s="118" t="s">
        <v>386</v>
      </c>
      <c r="C69" s="121">
        <v>38713</v>
      </c>
      <c r="D69" s="118">
        <v>137.76</v>
      </c>
      <c r="E69" s="138">
        <v>1</v>
      </c>
      <c r="F69" s="134"/>
      <c r="G69" s="138" t="s">
        <v>306</v>
      </c>
      <c r="H69" s="138">
        <v>65.105411889999999</v>
      </c>
      <c r="I69" s="103"/>
      <c r="J69" s="3"/>
      <c r="M69"/>
      <c r="O69" s="138" t="s">
        <v>306</v>
      </c>
      <c r="P69" s="138">
        <v>66.819308160000006</v>
      </c>
      <c r="S69" s="138"/>
      <c r="T69" s="148"/>
      <c r="U69" s="148"/>
      <c r="V69" s="148"/>
      <c r="W69" s="148"/>
      <c r="X69" s="148"/>
      <c r="Z69" s="138" t="s">
        <v>665</v>
      </c>
      <c r="AA69" s="138">
        <v>16967359.359999999</v>
      </c>
      <c r="AB69" s="138">
        <v>593</v>
      </c>
      <c r="AC69" s="138">
        <v>8</v>
      </c>
      <c r="AD69" s="138">
        <v>5566</v>
      </c>
      <c r="AE69" s="138">
        <v>1</v>
      </c>
      <c r="AF69" s="138"/>
      <c r="AG69" s="138" t="s">
        <v>665</v>
      </c>
      <c r="AH69" s="138">
        <v>0</v>
      </c>
      <c r="AI69" s="138">
        <v>0</v>
      </c>
      <c r="AJ69" s="138">
        <v>0</v>
      </c>
      <c r="AK69" s="138">
        <v>198</v>
      </c>
      <c r="AL69" s="138">
        <v>1</v>
      </c>
      <c r="AN69" s="138" t="s">
        <v>665</v>
      </c>
      <c r="AO69" s="138">
        <v>3270120</v>
      </c>
      <c r="AP69" s="138">
        <v>122</v>
      </c>
      <c r="AQ69" s="138">
        <v>8</v>
      </c>
      <c r="AR69" s="138">
        <v>4253</v>
      </c>
      <c r="AS69" s="138">
        <v>1</v>
      </c>
      <c r="AU69" s="138" t="s">
        <v>665</v>
      </c>
      <c r="AV69" s="138">
        <v>0</v>
      </c>
      <c r="AW69" s="138">
        <v>0</v>
      </c>
      <c r="AX69" s="138">
        <v>0</v>
      </c>
      <c r="AY69" s="138">
        <v>296</v>
      </c>
      <c r="AZ69" s="138">
        <v>1</v>
      </c>
      <c r="BB69" s="138" t="s">
        <v>657</v>
      </c>
      <c r="BC69" s="138">
        <v>14935700</v>
      </c>
      <c r="BD69" s="138">
        <v>85</v>
      </c>
      <c r="BE69" s="138">
        <v>17</v>
      </c>
      <c r="BF69" s="138">
        <v>1069</v>
      </c>
      <c r="BG69" s="138">
        <v>1</v>
      </c>
      <c r="BH69" t="s">
        <v>657</v>
      </c>
      <c r="BI69" s="138">
        <v>510975</v>
      </c>
      <c r="BJ69" s="138">
        <v>3</v>
      </c>
      <c r="BK69" s="138">
        <v>1</v>
      </c>
      <c r="BL69" s="138">
        <v>33</v>
      </c>
      <c r="BM69" s="138">
        <v>1</v>
      </c>
      <c r="BN69" s="138"/>
      <c r="BP69" s="152"/>
      <c r="BQ69" s="152"/>
      <c r="BR69" s="152"/>
    </row>
    <row r="70" spans="1:70" x14ac:dyDescent="0.25">
      <c r="A70" s="52"/>
      <c r="B70" s="118" t="s">
        <v>391</v>
      </c>
      <c r="C70" s="121">
        <v>42129</v>
      </c>
      <c r="D70" s="118">
        <v>1211.2244297899999</v>
      </c>
      <c r="E70" s="138">
        <v>1</v>
      </c>
      <c r="F70" s="12"/>
      <c r="G70" s="138" t="s">
        <v>307</v>
      </c>
      <c r="H70" s="138">
        <v>167.14255478999999</v>
      </c>
      <c r="I70" s="103"/>
      <c r="J70" s="3"/>
      <c r="M70"/>
      <c r="O70" s="138" t="s">
        <v>307</v>
      </c>
      <c r="P70" s="138">
        <v>158.27623894999999</v>
      </c>
      <c r="S70" s="138"/>
      <c r="T70" s="148"/>
      <c r="U70" s="148"/>
      <c r="V70" s="148"/>
      <c r="W70" s="148"/>
      <c r="X70" s="148"/>
      <c r="Z70" s="138" t="s">
        <v>666</v>
      </c>
      <c r="AA70" s="138">
        <v>9056483234.6399994</v>
      </c>
      <c r="AB70" s="138">
        <v>21176</v>
      </c>
      <c r="AC70" s="138">
        <v>3588</v>
      </c>
      <c r="AD70" s="138">
        <v>148207</v>
      </c>
      <c r="AE70" s="138">
        <v>1</v>
      </c>
      <c r="AF70" s="138"/>
      <c r="AG70" s="138" t="s">
        <v>666</v>
      </c>
      <c r="AH70" s="138">
        <v>374354040.08499998</v>
      </c>
      <c r="AI70" s="138">
        <v>903</v>
      </c>
      <c r="AJ70" s="138">
        <v>113</v>
      </c>
      <c r="AK70" s="138">
        <v>8157</v>
      </c>
      <c r="AL70" s="138">
        <v>1</v>
      </c>
      <c r="AN70" s="138" t="s">
        <v>666</v>
      </c>
      <c r="AO70" s="138">
        <v>10308232771.200001</v>
      </c>
      <c r="AP70" s="138">
        <v>23638</v>
      </c>
      <c r="AQ70" s="138">
        <v>4514</v>
      </c>
      <c r="AR70" s="138">
        <v>78598</v>
      </c>
      <c r="AS70" s="138">
        <v>1</v>
      </c>
      <c r="AU70" s="138" t="s">
        <v>666</v>
      </c>
      <c r="AV70" s="138">
        <v>1493343176.6949999</v>
      </c>
      <c r="AW70" s="138">
        <v>3565</v>
      </c>
      <c r="AX70" s="138">
        <v>152</v>
      </c>
      <c r="AY70" s="138">
        <v>6004</v>
      </c>
      <c r="AZ70" s="138">
        <v>1</v>
      </c>
      <c r="BB70" s="138" t="s">
        <v>658</v>
      </c>
      <c r="BC70" s="138">
        <v>32732897</v>
      </c>
      <c r="BD70" s="138">
        <v>293</v>
      </c>
      <c r="BE70" s="138">
        <v>61</v>
      </c>
      <c r="BF70" s="138">
        <v>2248</v>
      </c>
      <c r="BG70" s="138">
        <v>1</v>
      </c>
      <c r="BH70" t="s">
        <v>658</v>
      </c>
      <c r="BI70" s="138">
        <v>0</v>
      </c>
      <c r="BJ70" s="138">
        <v>0</v>
      </c>
      <c r="BK70" s="138">
        <v>0</v>
      </c>
      <c r="BL70" s="138">
        <v>94</v>
      </c>
      <c r="BM70" s="138">
        <v>1</v>
      </c>
      <c r="BN70" s="138"/>
    </row>
    <row r="71" spans="1:70" x14ac:dyDescent="0.25">
      <c r="A71" s="12"/>
      <c r="B71" s="118" t="s">
        <v>392</v>
      </c>
      <c r="C71" s="121">
        <v>42552</v>
      </c>
      <c r="D71" s="118">
        <v>532.75119029999996</v>
      </c>
      <c r="E71" s="138">
        <v>1</v>
      </c>
      <c r="F71" s="12"/>
      <c r="G71" s="138" t="s">
        <v>308</v>
      </c>
      <c r="H71" s="138">
        <v>40.366399649999998</v>
      </c>
      <c r="I71" s="103"/>
      <c r="J71" s="3"/>
      <c r="M71"/>
      <c r="O71" s="138" t="s">
        <v>308</v>
      </c>
      <c r="P71" s="138">
        <v>39.499057319999999</v>
      </c>
      <c r="S71" s="138"/>
      <c r="T71" s="148"/>
      <c r="U71" s="148"/>
      <c r="V71" s="148"/>
      <c r="W71" s="148"/>
      <c r="X71" s="148"/>
      <c r="Z71" s="138" t="s">
        <v>667</v>
      </c>
      <c r="AA71" s="138">
        <v>25801371234.919998</v>
      </c>
      <c r="AB71" s="138">
        <v>70466</v>
      </c>
      <c r="AC71" s="138">
        <v>17296</v>
      </c>
      <c r="AD71" s="138">
        <v>635862</v>
      </c>
      <c r="AE71" s="138">
        <v>1</v>
      </c>
      <c r="AF71" s="138"/>
      <c r="AG71" s="138" t="s">
        <v>667</v>
      </c>
      <c r="AH71" s="138">
        <v>901426548.71000004</v>
      </c>
      <c r="AI71" s="138">
        <v>2425</v>
      </c>
      <c r="AJ71" s="138">
        <v>530</v>
      </c>
      <c r="AK71" s="138">
        <v>29374</v>
      </c>
      <c r="AL71" s="138">
        <v>1</v>
      </c>
      <c r="AN71" s="138" t="s">
        <v>667</v>
      </c>
      <c r="AO71" s="138">
        <v>19423570953.039989</v>
      </c>
      <c r="AP71" s="138">
        <v>52677</v>
      </c>
      <c r="AQ71" s="138">
        <v>11653</v>
      </c>
      <c r="AR71" s="138">
        <v>447444</v>
      </c>
      <c r="AS71" s="138">
        <v>1</v>
      </c>
      <c r="AU71" s="138" t="s">
        <v>667</v>
      </c>
      <c r="AV71" s="138">
        <v>1633839054</v>
      </c>
      <c r="AW71" s="138">
        <v>4591</v>
      </c>
      <c r="AX71" s="138">
        <v>1084</v>
      </c>
      <c r="AY71" s="138">
        <v>27215</v>
      </c>
      <c r="AZ71" s="138">
        <v>1</v>
      </c>
      <c r="BB71" s="138" t="s">
        <v>659</v>
      </c>
      <c r="BC71" s="138">
        <v>142239112.755</v>
      </c>
      <c r="BD71" s="138">
        <v>413</v>
      </c>
      <c r="BE71" s="138">
        <v>190</v>
      </c>
      <c r="BF71" s="138">
        <v>2773</v>
      </c>
      <c r="BG71" s="138">
        <v>1</v>
      </c>
      <c r="BH71" t="s">
        <v>659</v>
      </c>
      <c r="BI71" s="138">
        <v>1304900</v>
      </c>
      <c r="BJ71" s="138">
        <v>4</v>
      </c>
      <c r="BK71" s="138">
        <v>1</v>
      </c>
      <c r="BL71" s="138">
        <v>91</v>
      </c>
      <c r="BM71" s="138">
        <v>1</v>
      </c>
      <c r="BN71" s="138"/>
      <c r="BO71" s="102" t="s">
        <v>461</v>
      </c>
      <c r="BP71" s="153"/>
      <c r="BQ71" s="153"/>
    </row>
    <row r="72" spans="1:70" x14ac:dyDescent="0.25">
      <c r="A72" s="98"/>
      <c r="B72" s="118" t="s">
        <v>397</v>
      </c>
      <c r="C72" s="121">
        <v>40478</v>
      </c>
      <c r="D72" s="118">
        <v>148.34</v>
      </c>
      <c r="E72" s="138">
        <v>1</v>
      </c>
      <c r="F72" s="134"/>
      <c r="G72" s="138" t="s">
        <v>309</v>
      </c>
      <c r="H72" s="138">
        <v>99.31381193</v>
      </c>
      <c r="I72" s="103"/>
      <c r="J72" s="3"/>
      <c r="M72"/>
      <c r="O72" s="138" t="s">
        <v>309</v>
      </c>
      <c r="P72" s="138">
        <v>89.664425190000003</v>
      </c>
      <c r="S72" s="138"/>
      <c r="T72" s="148"/>
      <c r="U72" s="148"/>
      <c r="V72" s="148"/>
      <c r="W72" s="148"/>
      <c r="X72" s="148"/>
      <c r="Z72" s="138" t="s">
        <v>668</v>
      </c>
      <c r="AA72" s="138">
        <v>0</v>
      </c>
      <c r="AB72" s="138">
        <v>0</v>
      </c>
      <c r="AC72" s="138">
        <v>0</v>
      </c>
      <c r="AD72" s="138">
        <v>0</v>
      </c>
      <c r="AE72" s="138">
        <v>1</v>
      </c>
      <c r="AF72" s="138"/>
      <c r="AG72" s="138" t="s">
        <v>668</v>
      </c>
      <c r="AH72" s="138">
        <v>0</v>
      </c>
      <c r="AI72" s="138">
        <v>0</v>
      </c>
      <c r="AJ72" s="138">
        <v>0</v>
      </c>
      <c r="AK72" s="138">
        <v>0</v>
      </c>
      <c r="AL72" s="138">
        <v>1</v>
      </c>
      <c r="AN72" s="138" t="s">
        <v>668</v>
      </c>
      <c r="AO72" s="138">
        <v>26524709.989999998</v>
      </c>
      <c r="AP72" s="138">
        <v>76</v>
      </c>
      <c r="AQ72" s="138">
        <v>14</v>
      </c>
      <c r="AR72" s="138">
        <v>366</v>
      </c>
      <c r="AS72" s="138">
        <v>1</v>
      </c>
      <c r="AU72" s="138" t="s">
        <v>668</v>
      </c>
      <c r="AV72" s="138">
        <v>0</v>
      </c>
      <c r="AW72" s="138">
        <v>0</v>
      </c>
      <c r="AX72" s="138">
        <v>0</v>
      </c>
      <c r="AY72" s="138">
        <v>0</v>
      </c>
      <c r="AZ72" s="138">
        <v>1</v>
      </c>
      <c r="BB72" s="138" t="s">
        <v>660</v>
      </c>
      <c r="BC72" s="138">
        <v>35758612937.014999</v>
      </c>
      <c r="BD72" s="138">
        <v>77478</v>
      </c>
      <c r="BE72" s="138">
        <v>6265</v>
      </c>
      <c r="BF72" s="138">
        <v>337190</v>
      </c>
      <c r="BG72" s="138">
        <v>1</v>
      </c>
      <c r="BH72" t="s">
        <v>660</v>
      </c>
      <c r="BI72" s="138">
        <v>1335960703.0150001</v>
      </c>
      <c r="BJ72" s="138">
        <v>2850</v>
      </c>
      <c r="BK72" s="138">
        <v>262</v>
      </c>
      <c r="BL72" s="138">
        <v>21743</v>
      </c>
      <c r="BM72" s="138">
        <v>1</v>
      </c>
      <c r="BN72" s="138"/>
      <c r="BP72" s="152"/>
      <c r="BQ72" s="152"/>
    </row>
    <row r="73" spans="1:70" x14ac:dyDescent="0.25">
      <c r="A73" s="52"/>
      <c r="B73" s="118" t="s">
        <v>406</v>
      </c>
      <c r="C73" s="121">
        <v>42550</v>
      </c>
      <c r="D73" s="118">
        <v>130.66139737</v>
      </c>
      <c r="E73" s="138">
        <v>1</v>
      </c>
      <c r="F73" s="134"/>
      <c r="G73" s="138" t="s">
        <v>516</v>
      </c>
      <c r="H73" s="138">
        <v>37293.161300100001</v>
      </c>
      <c r="I73" s="103"/>
      <c r="J73" s="3"/>
      <c r="M73"/>
      <c r="O73" s="138" t="s">
        <v>516</v>
      </c>
      <c r="P73" s="138">
        <v>40292.664361180003</v>
      </c>
      <c r="Z73" s="138" t="s">
        <v>669</v>
      </c>
      <c r="AA73" s="138">
        <v>24383597968.130001</v>
      </c>
      <c r="AB73" s="138">
        <v>64526</v>
      </c>
      <c r="AC73" s="138">
        <v>11830</v>
      </c>
      <c r="AD73" s="138">
        <v>580853</v>
      </c>
      <c r="AE73" s="138">
        <v>1</v>
      </c>
      <c r="AF73" s="138"/>
      <c r="AG73" s="138" t="s">
        <v>669</v>
      </c>
      <c r="AH73" s="138">
        <v>1268379992.1099999</v>
      </c>
      <c r="AI73" s="138">
        <v>3291</v>
      </c>
      <c r="AJ73" s="138">
        <v>697</v>
      </c>
      <c r="AK73" s="138">
        <v>26800</v>
      </c>
      <c r="AL73" s="138">
        <v>1</v>
      </c>
      <c r="AN73" s="138" t="s">
        <v>669</v>
      </c>
      <c r="AO73" s="138">
        <v>19376561678.029999</v>
      </c>
      <c r="AP73" s="138">
        <v>50118</v>
      </c>
      <c r="AQ73" s="138">
        <v>8914</v>
      </c>
      <c r="AR73" s="138">
        <v>431767</v>
      </c>
      <c r="AS73" s="138">
        <v>1</v>
      </c>
      <c r="AU73" s="138" t="s">
        <v>669</v>
      </c>
      <c r="AV73" s="138">
        <v>1303988882.0899999</v>
      </c>
      <c r="AW73" s="138">
        <v>3528</v>
      </c>
      <c r="AX73" s="138">
        <v>544</v>
      </c>
      <c r="AY73" s="138">
        <v>25661</v>
      </c>
      <c r="AZ73" s="138">
        <v>1</v>
      </c>
      <c r="BB73" s="138" t="s">
        <v>661</v>
      </c>
      <c r="BC73" s="138">
        <v>3329079930.98</v>
      </c>
      <c r="BD73" s="138">
        <v>3488</v>
      </c>
      <c r="BE73" s="138">
        <v>271</v>
      </c>
      <c r="BF73" s="138">
        <v>10231</v>
      </c>
      <c r="BG73" s="138">
        <v>1</v>
      </c>
      <c r="BH73" t="s">
        <v>661</v>
      </c>
      <c r="BI73" s="138">
        <v>300680341.86000001</v>
      </c>
      <c r="BJ73" s="138">
        <v>310</v>
      </c>
      <c r="BK73" s="138">
        <v>14</v>
      </c>
      <c r="BL73" s="138">
        <v>699</v>
      </c>
      <c r="BM73" s="138">
        <v>1</v>
      </c>
      <c r="BN73" s="138"/>
      <c r="BP73" s="152"/>
      <c r="BQ73" s="152"/>
    </row>
    <row r="74" spans="1:70" x14ac:dyDescent="0.25">
      <c r="A74" s="52"/>
      <c r="B74" s="118" t="s">
        <v>414</v>
      </c>
      <c r="C74" s="121">
        <v>39604</v>
      </c>
      <c r="D74" s="118">
        <v>233.37</v>
      </c>
      <c r="E74" s="138">
        <v>1</v>
      </c>
      <c r="F74" s="134"/>
      <c r="G74" s="138" t="s">
        <v>517</v>
      </c>
      <c r="H74" s="138">
        <v>5585.8448721200002</v>
      </c>
      <c r="I74" s="103"/>
      <c r="J74" s="3"/>
      <c r="M74"/>
      <c r="O74" s="138" t="s">
        <v>517</v>
      </c>
      <c r="P74" s="138">
        <v>6054.9802932000002</v>
      </c>
      <c r="Z74" s="138"/>
      <c r="AA74" s="138"/>
      <c r="AB74" s="138"/>
      <c r="AC74" s="138"/>
      <c r="AD74" s="138"/>
      <c r="AE74" s="138"/>
      <c r="AF74" s="138"/>
      <c r="AG74" s="138"/>
      <c r="AH74" s="138"/>
      <c r="AI74" s="138"/>
      <c r="AJ74" s="138"/>
      <c r="AK74" s="138"/>
      <c r="AL74" s="138"/>
      <c r="AN74" s="138"/>
      <c r="AO74" s="138"/>
      <c r="AP74" s="138"/>
      <c r="AQ74" s="138"/>
      <c r="AR74" s="138"/>
      <c r="AS74" s="138"/>
      <c r="AU74" s="138"/>
      <c r="AV74" s="138"/>
      <c r="AW74" s="138"/>
      <c r="AX74" s="138"/>
      <c r="AY74" s="138"/>
      <c r="AZ74" s="138"/>
      <c r="BB74" s="138" t="s">
        <v>662</v>
      </c>
      <c r="BC74" s="138">
        <v>2925000</v>
      </c>
      <c r="BD74" s="138">
        <v>4</v>
      </c>
      <c r="BE74" s="138">
        <v>2</v>
      </c>
      <c r="BF74" s="138">
        <v>63</v>
      </c>
      <c r="BG74" s="138">
        <v>1</v>
      </c>
      <c r="BH74" t="s">
        <v>662</v>
      </c>
      <c r="BI74" s="138">
        <v>0</v>
      </c>
      <c r="BJ74" s="138">
        <v>0</v>
      </c>
      <c r="BK74" s="138">
        <v>0</v>
      </c>
      <c r="BL74" s="138">
        <v>3</v>
      </c>
      <c r="BM74" s="138">
        <v>1</v>
      </c>
      <c r="BN74" s="138"/>
      <c r="BP74" s="152"/>
    </row>
    <row r="75" spans="1:70" x14ac:dyDescent="0.25">
      <c r="A75" s="52"/>
      <c r="B75" s="118" t="s">
        <v>204</v>
      </c>
      <c r="C75" s="121">
        <v>38713</v>
      </c>
      <c r="D75" s="118">
        <v>20229.37</v>
      </c>
      <c r="E75" s="138">
        <v>1</v>
      </c>
      <c r="F75" s="135"/>
      <c r="G75" s="138" t="s">
        <v>518</v>
      </c>
      <c r="H75" s="138">
        <v>4994.82139465</v>
      </c>
      <c r="I75" s="103"/>
      <c r="J75" s="3"/>
      <c r="M75"/>
      <c r="O75" s="138" t="s">
        <v>518</v>
      </c>
      <c r="P75" s="138">
        <v>5351.2303811199999</v>
      </c>
      <c r="S75" s="139"/>
      <c r="T75" s="147"/>
      <c r="U75" s="147"/>
      <c r="V75" s="147"/>
      <c r="W75" s="147"/>
      <c r="X75" s="147"/>
      <c r="Z75" s="138"/>
      <c r="AA75" s="138"/>
      <c r="AB75" s="138"/>
      <c r="AC75" s="138"/>
      <c r="AD75" s="138"/>
      <c r="AE75" s="138"/>
      <c r="AF75" s="138"/>
      <c r="AG75" s="138"/>
      <c r="AH75" s="138"/>
      <c r="AI75" s="138"/>
      <c r="AJ75" s="138"/>
      <c r="AK75" s="138"/>
      <c r="AL75" s="138"/>
      <c r="AN75" s="138"/>
      <c r="AO75" s="138"/>
      <c r="AP75" s="138"/>
      <c r="AQ75" s="138"/>
      <c r="AR75" s="138"/>
      <c r="AS75" s="138"/>
      <c r="AU75" s="138"/>
      <c r="AV75" s="138"/>
      <c r="AW75" s="138"/>
      <c r="AX75" s="138"/>
      <c r="AY75" s="138"/>
      <c r="AZ75" s="138"/>
      <c r="BB75" s="138" t="s">
        <v>663</v>
      </c>
      <c r="BC75" s="138">
        <v>9454065</v>
      </c>
      <c r="BD75" s="138">
        <v>13</v>
      </c>
      <c r="BE75" s="138">
        <v>6</v>
      </c>
      <c r="BF75" s="138">
        <v>87</v>
      </c>
      <c r="BG75" s="138">
        <v>1</v>
      </c>
      <c r="BH75" t="s">
        <v>663</v>
      </c>
      <c r="BI75" s="138">
        <v>0</v>
      </c>
      <c r="BJ75" s="138">
        <v>0</v>
      </c>
      <c r="BK75" s="138">
        <v>0</v>
      </c>
      <c r="BL75" s="138">
        <v>7</v>
      </c>
      <c r="BM75" s="138">
        <v>1</v>
      </c>
      <c r="BN75" s="138"/>
      <c r="BO75" s="102" t="s">
        <v>445</v>
      </c>
      <c r="BP75" s="153" t="s">
        <v>629</v>
      </c>
      <c r="BQ75" s="153" t="s">
        <v>630</v>
      </c>
      <c r="BR75" s="153" t="s">
        <v>631</v>
      </c>
    </row>
    <row r="76" spans="1:70" x14ac:dyDescent="0.25">
      <c r="B76" s="118" t="s">
        <v>208</v>
      </c>
      <c r="C76" s="121">
        <v>38677</v>
      </c>
      <c r="D76" s="118">
        <v>28766.959999999999</v>
      </c>
      <c r="E76" s="138">
        <v>1</v>
      </c>
      <c r="G76" s="138" t="s">
        <v>515</v>
      </c>
      <c r="H76" s="138">
        <v>36394.3103195</v>
      </c>
      <c r="I76" s="103"/>
      <c r="J76" s="3"/>
      <c r="M76"/>
      <c r="O76" s="138" t="s">
        <v>515</v>
      </c>
      <c r="P76" s="138">
        <v>39597.259166600001</v>
      </c>
      <c r="S76" s="138"/>
      <c r="T76" s="148"/>
      <c r="U76" s="148"/>
      <c r="V76" s="148"/>
      <c r="W76" s="148"/>
      <c r="X76" s="148"/>
      <c r="Z76" s="138"/>
      <c r="AA76" s="138"/>
      <c r="AB76" s="138"/>
      <c r="AC76" s="138"/>
      <c r="AD76" s="138"/>
      <c r="AE76" s="138"/>
      <c r="AF76" s="138"/>
      <c r="AG76" s="138"/>
      <c r="AH76" s="138"/>
      <c r="AI76" s="138"/>
      <c r="AJ76" s="138"/>
      <c r="AK76" s="138"/>
      <c r="AL76" s="138"/>
      <c r="AN76" s="138"/>
      <c r="AO76" s="138"/>
      <c r="AP76" s="138"/>
      <c r="AQ76" s="138"/>
      <c r="AR76" s="138"/>
      <c r="AS76" s="138"/>
      <c r="AU76" s="138"/>
      <c r="AV76" s="138"/>
      <c r="AW76" s="138"/>
      <c r="AX76" s="138"/>
      <c r="AY76" s="138"/>
      <c r="AZ76" s="138"/>
      <c r="BB76" s="138" t="s">
        <v>664</v>
      </c>
      <c r="BC76" s="138">
        <v>14010560</v>
      </c>
      <c r="BD76" s="138">
        <v>180</v>
      </c>
      <c r="BE76" s="138">
        <v>30</v>
      </c>
      <c r="BF76" s="138">
        <v>4177</v>
      </c>
      <c r="BG76" s="138">
        <v>1</v>
      </c>
      <c r="BH76" t="s">
        <v>664</v>
      </c>
      <c r="BI76" s="138">
        <v>1580650</v>
      </c>
      <c r="BJ76" s="138">
        <v>20</v>
      </c>
      <c r="BK76" s="138">
        <v>4</v>
      </c>
      <c r="BL76" s="138">
        <v>198</v>
      </c>
      <c r="BM76" s="138">
        <v>1</v>
      </c>
      <c r="BN76" s="138"/>
      <c r="BP76" s="152">
        <v>537595517287.70447</v>
      </c>
      <c r="BQ76" s="152">
        <v>1321625</v>
      </c>
      <c r="BR76" s="152">
        <v>238865</v>
      </c>
    </row>
    <row r="77" spans="1:70" x14ac:dyDescent="0.25">
      <c r="B77" s="118" t="s">
        <v>209</v>
      </c>
      <c r="C77" s="121">
        <v>37432</v>
      </c>
      <c r="D77" s="118">
        <v>30613.119999999999</v>
      </c>
      <c r="E77" s="138">
        <v>1</v>
      </c>
      <c r="G77" s="138" t="s">
        <v>540</v>
      </c>
      <c r="H77" s="138">
        <v>1019.4877606699999</v>
      </c>
      <c r="I77" s="103"/>
      <c r="J77" s="3"/>
      <c r="M77"/>
      <c r="O77" s="138" t="s">
        <v>540</v>
      </c>
      <c r="P77" s="138">
        <v>1082.53351709</v>
      </c>
      <c r="S77" s="138"/>
      <c r="T77" s="148"/>
      <c r="U77" s="148"/>
      <c r="V77" s="148"/>
      <c r="W77" s="148"/>
      <c r="X77" s="148"/>
      <c r="Z77" s="138"/>
      <c r="AA77" s="138"/>
      <c r="AB77" s="138"/>
      <c r="AC77" s="138"/>
      <c r="AD77" s="138"/>
      <c r="AE77" s="138"/>
      <c r="AF77" s="138"/>
      <c r="AG77" s="138"/>
      <c r="AH77" s="138"/>
      <c r="AI77" s="138"/>
      <c r="AJ77" s="138"/>
      <c r="AK77" s="138"/>
      <c r="AL77" s="138"/>
      <c r="AN77" s="138"/>
      <c r="AO77" s="138"/>
      <c r="AP77" s="138"/>
      <c r="AQ77" s="138"/>
      <c r="AR77" s="138"/>
      <c r="AS77" s="138"/>
      <c r="AU77" s="138"/>
      <c r="AV77" s="138"/>
      <c r="AW77" s="138"/>
      <c r="AX77" s="138"/>
      <c r="AY77" s="138"/>
      <c r="AZ77" s="138"/>
      <c r="BB77" s="138" t="s">
        <v>665</v>
      </c>
      <c r="BC77" s="138">
        <v>8910401.9199999999</v>
      </c>
      <c r="BD77" s="138">
        <v>409</v>
      </c>
      <c r="BE77" s="138">
        <v>10</v>
      </c>
      <c r="BF77" s="138">
        <v>11056</v>
      </c>
      <c r="BG77" s="138">
        <v>1</v>
      </c>
      <c r="BH77" t="s">
        <v>665</v>
      </c>
      <c r="BI77" s="138">
        <v>955382.4</v>
      </c>
      <c r="BJ77" s="138">
        <v>42</v>
      </c>
      <c r="BK77" s="138">
        <v>1</v>
      </c>
      <c r="BL77" s="138">
        <v>568</v>
      </c>
      <c r="BM77" s="138">
        <v>1</v>
      </c>
      <c r="BN77" s="138"/>
    </row>
    <row r="78" spans="1:70" x14ac:dyDescent="0.25">
      <c r="A78" s="97"/>
      <c r="B78" s="118" t="s">
        <v>211</v>
      </c>
      <c r="C78" s="121">
        <v>38715</v>
      </c>
      <c r="D78" s="118">
        <v>17673.63</v>
      </c>
      <c r="E78" s="138">
        <v>1</v>
      </c>
      <c r="G78" s="138" t="s">
        <v>512</v>
      </c>
      <c r="H78" s="138">
        <v>40933.688983</v>
      </c>
      <c r="I78" s="103"/>
      <c r="J78" s="40"/>
      <c r="M78"/>
      <c r="O78" s="138" t="s">
        <v>512</v>
      </c>
      <c r="P78" s="138">
        <v>40230.260571790001</v>
      </c>
      <c r="S78" s="138"/>
      <c r="T78" s="148"/>
      <c r="U78" s="148"/>
      <c r="V78" s="148"/>
      <c r="W78" s="148"/>
      <c r="X78" s="148"/>
      <c r="Z78" s="138"/>
      <c r="AA78" s="138"/>
      <c r="AB78" s="138"/>
      <c r="AC78" s="138"/>
      <c r="AD78" s="138"/>
      <c r="AE78" s="138"/>
      <c r="AF78" s="138"/>
      <c r="AG78" s="138"/>
      <c r="AH78" s="138"/>
      <c r="AI78" s="138"/>
      <c r="AJ78" s="138"/>
      <c r="AK78" s="138"/>
      <c r="AL78" s="138"/>
      <c r="AN78" s="138"/>
      <c r="AO78" s="138"/>
      <c r="AP78" s="138"/>
      <c r="AQ78" s="138"/>
      <c r="AR78" s="138"/>
      <c r="AS78" s="138"/>
      <c r="AU78" s="138"/>
      <c r="AV78" s="138"/>
      <c r="AW78" s="138"/>
      <c r="AX78" s="138"/>
      <c r="AY78" s="138"/>
      <c r="AZ78" s="138"/>
      <c r="BB78" s="138" t="s">
        <v>666</v>
      </c>
      <c r="BC78" s="138">
        <v>10550396279.98</v>
      </c>
      <c r="BD78" s="138">
        <v>19609</v>
      </c>
      <c r="BE78" s="138">
        <v>2808</v>
      </c>
      <c r="BF78" s="138">
        <v>115756</v>
      </c>
      <c r="BG78" s="138">
        <v>1</v>
      </c>
      <c r="BH78" t="s">
        <v>666</v>
      </c>
      <c r="BI78" s="138">
        <v>715260717.57000005</v>
      </c>
      <c r="BJ78" s="138">
        <v>1290</v>
      </c>
      <c r="BK78" s="138">
        <v>97</v>
      </c>
      <c r="BL78" s="138">
        <v>6540</v>
      </c>
      <c r="BM78" s="138">
        <v>1</v>
      </c>
      <c r="BN78" s="138"/>
      <c r="BO78" s="102" t="s">
        <v>464</v>
      </c>
      <c r="BP78" s="153" t="s">
        <v>629</v>
      </c>
      <c r="BQ78" s="153" t="s">
        <v>630</v>
      </c>
      <c r="BR78" s="153" t="s">
        <v>631</v>
      </c>
    </row>
    <row r="79" spans="1:70" x14ac:dyDescent="0.25">
      <c r="A79" s="97"/>
      <c r="B79" s="118" t="s">
        <v>214</v>
      </c>
      <c r="C79" s="121">
        <v>38604</v>
      </c>
      <c r="D79" s="118">
        <v>28742.13</v>
      </c>
      <c r="E79" s="138">
        <v>1</v>
      </c>
      <c r="G79" s="138" t="s">
        <v>514</v>
      </c>
      <c r="H79" s="138">
        <v>74338.011095549999</v>
      </c>
      <c r="I79" s="103"/>
      <c r="J79" s="40"/>
      <c r="M79"/>
      <c r="O79" s="138" t="s">
        <v>514</v>
      </c>
      <c r="P79" s="138">
        <v>81911.275667239999</v>
      </c>
      <c r="S79" s="138"/>
      <c r="T79" s="148"/>
      <c r="U79" s="148"/>
      <c r="V79" s="148"/>
      <c r="W79" s="148"/>
      <c r="X79" s="148"/>
      <c r="Z79" s="138"/>
      <c r="AA79" s="138"/>
      <c r="AB79" s="138"/>
      <c r="AC79" s="138"/>
      <c r="AD79" s="138"/>
      <c r="AE79" s="138"/>
      <c r="AF79" s="138"/>
      <c r="AG79" s="138"/>
      <c r="AH79" s="138"/>
      <c r="AI79" s="138"/>
      <c r="AJ79" s="138"/>
      <c r="AK79" s="138"/>
      <c r="AL79" s="138"/>
      <c r="AN79" s="138"/>
      <c r="AO79" s="138"/>
      <c r="AP79" s="138"/>
      <c r="AQ79" s="138"/>
      <c r="AR79" s="138"/>
      <c r="AS79" s="138"/>
      <c r="AU79" s="138"/>
      <c r="AV79" s="138"/>
      <c r="AW79" s="138"/>
      <c r="AX79" s="138"/>
      <c r="AY79" s="138"/>
      <c r="AZ79" s="138"/>
      <c r="BB79" s="138" t="s">
        <v>667</v>
      </c>
      <c r="BC79" s="138">
        <v>25844604402.400002</v>
      </c>
      <c r="BD79" s="138">
        <v>56061</v>
      </c>
      <c r="BE79" s="138">
        <v>12157</v>
      </c>
      <c r="BF79" s="138">
        <v>529627</v>
      </c>
      <c r="BG79" s="138">
        <v>1</v>
      </c>
      <c r="BH79" t="s">
        <v>667</v>
      </c>
      <c r="BI79" s="138">
        <v>1471871591.3199999</v>
      </c>
      <c r="BJ79" s="138">
        <v>3152</v>
      </c>
      <c r="BK79" s="138">
        <v>645</v>
      </c>
      <c r="BL79" s="138">
        <v>24252</v>
      </c>
      <c r="BM79" s="138">
        <v>1</v>
      </c>
      <c r="BN79" s="138"/>
      <c r="BO79" s="146"/>
      <c r="BP79" s="152">
        <v>838175427.84000003</v>
      </c>
      <c r="BQ79" s="152">
        <v>72213</v>
      </c>
      <c r="BR79" s="152">
        <v>6414</v>
      </c>
    </row>
    <row r="80" spans="1:70" x14ac:dyDescent="0.25">
      <c r="A80" s="97"/>
      <c r="B80" s="118" t="s">
        <v>217</v>
      </c>
      <c r="C80" s="121">
        <v>38709</v>
      </c>
      <c r="D80" s="118">
        <v>2183.41</v>
      </c>
      <c r="E80" s="138">
        <v>1</v>
      </c>
      <c r="G80" s="138" t="s">
        <v>510</v>
      </c>
      <c r="H80" s="138">
        <v>34057.156572699998</v>
      </c>
      <c r="I80" s="103"/>
      <c r="J80" s="3"/>
      <c r="M80"/>
      <c r="O80" s="138" t="s">
        <v>510</v>
      </c>
      <c r="P80" s="138">
        <v>34358.16433444</v>
      </c>
      <c r="R80" s="101" t="s">
        <v>424</v>
      </c>
      <c r="S80" s="138"/>
      <c r="T80" s="148"/>
      <c r="U80" s="148"/>
      <c r="V80" s="148"/>
      <c r="W80" s="148"/>
      <c r="X80" s="148"/>
      <c r="BB80" t="s">
        <v>668</v>
      </c>
      <c r="BC80">
        <v>0</v>
      </c>
      <c r="BD80">
        <v>0</v>
      </c>
      <c r="BE80">
        <v>0</v>
      </c>
      <c r="BF80">
        <v>0</v>
      </c>
      <c r="BG80">
        <v>1</v>
      </c>
      <c r="BH80" t="s">
        <v>668</v>
      </c>
      <c r="BI80">
        <v>0</v>
      </c>
      <c r="BJ80">
        <v>0</v>
      </c>
      <c r="BK80">
        <v>0</v>
      </c>
      <c r="BL80">
        <v>0</v>
      </c>
      <c r="BM80">
        <v>1</v>
      </c>
    </row>
    <row r="81" spans="1:70" x14ac:dyDescent="0.25">
      <c r="A81" s="97"/>
      <c r="B81" s="118" t="s">
        <v>226</v>
      </c>
      <c r="C81" s="121">
        <v>38699</v>
      </c>
      <c r="D81" s="118">
        <v>28328.49</v>
      </c>
      <c r="E81" s="138">
        <v>1</v>
      </c>
      <c r="G81" s="138" t="s">
        <v>509</v>
      </c>
      <c r="H81" s="138">
        <v>48769.70028633</v>
      </c>
      <c r="I81" s="103"/>
      <c r="J81" s="3"/>
      <c r="M81"/>
      <c r="O81" s="138" t="s">
        <v>509</v>
      </c>
      <c r="P81" s="138">
        <v>49714.902609019999</v>
      </c>
      <c r="S81" s="138"/>
      <c r="T81" s="148"/>
      <c r="U81" s="148"/>
      <c r="V81" s="148"/>
      <c r="W81" s="148"/>
      <c r="X81" s="148"/>
      <c r="BB81" t="s">
        <v>669</v>
      </c>
      <c r="BC81">
        <v>26853679682.59</v>
      </c>
      <c r="BD81">
        <v>56983</v>
      </c>
      <c r="BE81">
        <v>9786</v>
      </c>
      <c r="BF81">
        <v>564588</v>
      </c>
      <c r="BG81">
        <v>1</v>
      </c>
      <c r="BH81" t="s">
        <v>669</v>
      </c>
      <c r="BI81">
        <v>1483871928.3599999</v>
      </c>
      <c r="BJ81">
        <v>3149</v>
      </c>
      <c r="BK81">
        <v>571</v>
      </c>
      <c r="BL81">
        <v>25814</v>
      </c>
      <c r="BM81">
        <v>1</v>
      </c>
      <c r="BO81" s="102" t="s">
        <v>446</v>
      </c>
      <c r="BP81" s="153" t="s">
        <v>629</v>
      </c>
      <c r="BQ81" s="153" t="s">
        <v>630</v>
      </c>
      <c r="BR81" s="153" t="s">
        <v>631</v>
      </c>
    </row>
    <row r="82" spans="1:70" x14ac:dyDescent="0.25">
      <c r="A82" s="97"/>
      <c r="B82" s="118" t="s">
        <v>228</v>
      </c>
      <c r="C82" s="121">
        <v>38709</v>
      </c>
      <c r="D82" s="118">
        <v>1445.21</v>
      </c>
      <c r="E82" s="138">
        <v>1</v>
      </c>
      <c r="G82" s="138" t="s">
        <v>508</v>
      </c>
      <c r="H82" s="138">
        <v>25535.291245569999</v>
      </c>
      <c r="I82" s="103"/>
      <c r="M82"/>
      <c r="O82" s="138" t="s">
        <v>508</v>
      </c>
      <c r="P82" s="138">
        <v>29907.416715089999</v>
      </c>
      <c r="S82" s="138"/>
      <c r="T82" s="148"/>
      <c r="U82" s="148"/>
      <c r="V82" s="148"/>
      <c r="W82" s="148"/>
      <c r="X82" s="148"/>
      <c r="BB82" t="s">
        <v>673</v>
      </c>
      <c r="BC82">
        <v>0</v>
      </c>
      <c r="BD82">
        <v>0</v>
      </c>
      <c r="BE82">
        <v>0</v>
      </c>
      <c r="BF82">
        <v>0</v>
      </c>
      <c r="BG82">
        <v>1</v>
      </c>
      <c r="BH82" t="s">
        <v>673</v>
      </c>
      <c r="BI82">
        <v>0</v>
      </c>
      <c r="BJ82">
        <v>0</v>
      </c>
      <c r="BK82">
        <v>0</v>
      </c>
      <c r="BL82">
        <v>0</v>
      </c>
      <c r="BM82">
        <v>1</v>
      </c>
      <c r="BP82" s="152">
        <v>511356414000.15247</v>
      </c>
      <c r="BQ82" s="152">
        <v>1266309</v>
      </c>
      <c r="BR82" s="152">
        <v>191990</v>
      </c>
    </row>
    <row r="83" spans="1:70" x14ac:dyDescent="0.25">
      <c r="A83" s="12"/>
      <c r="B83" s="118" t="s">
        <v>237</v>
      </c>
      <c r="C83" s="121">
        <v>38713</v>
      </c>
      <c r="D83" s="118">
        <v>1547.81</v>
      </c>
      <c r="E83" s="138">
        <v>1</v>
      </c>
      <c r="F83" s="12"/>
      <c r="G83" s="138" t="s">
        <v>310</v>
      </c>
      <c r="H83" s="138">
        <v>69997.839210759994</v>
      </c>
      <c r="I83" s="103"/>
      <c r="M83"/>
      <c r="O83" s="138" t="s">
        <v>310</v>
      </c>
      <c r="P83" s="138">
        <v>72582.818348679997</v>
      </c>
      <c r="S83" s="138"/>
      <c r="T83" s="148"/>
      <c r="U83" s="148"/>
      <c r="V83" s="148"/>
      <c r="W83" s="148"/>
      <c r="X83" s="148"/>
    </row>
    <row r="84" spans="1:70" x14ac:dyDescent="0.25">
      <c r="A84" s="97"/>
      <c r="B84" s="118" t="s">
        <v>247</v>
      </c>
      <c r="C84" s="121">
        <v>44622</v>
      </c>
      <c r="D84" s="118">
        <v>5066.9148220400002</v>
      </c>
      <c r="E84" s="138">
        <v>1</v>
      </c>
      <c r="F84" s="134"/>
      <c r="G84" s="138" t="s">
        <v>311</v>
      </c>
      <c r="H84" s="138">
        <v>3797.0509065800002</v>
      </c>
      <c r="I84" s="103"/>
      <c r="M84"/>
      <c r="O84" s="138" t="s">
        <v>311</v>
      </c>
      <c r="P84" s="138">
        <v>4267.2865974099996</v>
      </c>
      <c r="S84" s="138"/>
      <c r="T84" s="148"/>
      <c r="U84" s="148"/>
      <c r="V84" s="148"/>
      <c r="W84" s="148"/>
      <c r="X84" s="148"/>
      <c r="BO84" s="102" t="s">
        <v>447</v>
      </c>
      <c r="BP84" s="153" t="s">
        <v>629</v>
      </c>
      <c r="BQ84" s="153" t="s">
        <v>630</v>
      </c>
      <c r="BR84" s="153" t="s">
        <v>631</v>
      </c>
    </row>
    <row r="85" spans="1:70" x14ac:dyDescent="0.25">
      <c r="A85" s="97"/>
      <c r="B85" s="118" t="s">
        <v>248</v>
      </c>
      <c r="C85" s="121">
        <v>44622</v>
      </c>
      <c r="D85" s="118">
        <v>4917.8630104100002</v>
      </c>
      <c r="E85" s="138">
        <v>1</v>
      </c>
      <c r="F85" s="134"/>
      <c r="G85" s="138" t="s">
        <v>312</v>
      </c>
      <c r="H85" s="138">
        <v>75067.471936119997</v>
      </c>
      <c r="I85" s="103"/>
      <c r="M85"/>
      <c r="O85" s="138" t="s">
        <v>312</v>
      </c>
      <c r="P85" s="138">
        <v>78218.370344919997</v>
      </c>
      <c r="S85" s="138"/>
      <c r="T85" s="148"/>
      <c r="U85" s="148"/>
      <c r="V85" s="148"/>
      <c r="W85" s="148"/>
      <c r="X85" s="148"/>
      <c r="BP85" s="152">
        <v>2623524975.9000001</v>
      </c>
      <c r="BQ85" s="152">
        <v>122716</v>
      </c>
      <c r="BR85" s="152">
        <v>8777</v>
      </c>
    </row>
    <row r="86" spans="1:70" x14ac:dyDescent="0.25">
      <c r="A86" s="97"/>
      <c r="B86" s="118" t="s">
        <v>62</v>
      </c>
      <c r="C86" s="121">
        <v>44039</v>
      </c>
      <c r="D86" s="118">
        <v>6662.4654347699998</v>
      </c>
      <c r="E86" s="138">
        <v>1</v>
      </c>
      <c r="F86" s="134"/>
      <c r="G86" s="138" t="s">
        <v>313</v>
      </c>
      <c r="H86" s="138">
        <v>13719.81231997</v>
      </c>
      <c r="I86" s="103"/>
      <c r="M86"/>
      <c r="O86" s="138" t="s">
        <v>313</v>
      </c>
      <c r="P86" s="138">
        <v>14593.558735619999</v>
      </c>
      <c r="S86" s="138"/>
      <c r="T86" s="148"/>
      <c r="U86" s="148"/>
      <c r="V86" s="148"/>
      <c r="W86" s="148"/>
      <c r="X86" s="148"/>
    </row>
    <row r="87" spans="1:70" x14ac:dyDescent="0.25">
      <c r="A87" s="99"/>
      <c r="B87" s="118" t="s">
        <v>251</v>
      </c>
      <c r="C87" s="121">
        <v>38009</v>
      </c>
      <c r="D87" s="118">
        <v>999.63</v>
      </c>
      <c r="E87" s="138">
        <v>1</v>
      </c>
      <c r="F87" s="134"/>
      <c r="G87" s="138" t="s">
        <v>541</v>
      </c>
      <c r="H87" s="138">
        <v>19660.8067739</v>
      </c>
      <c r="I87" s="103"/>
      <c r="M87"/>
      <c r="O87" s="138" t="s">
        <v>541</v>
      </c>
      <c r="P87" s="138">
        <v>20849.343519030001</v>
      </c>
      <c r="S87" s="138"/>
      <c r="T87" s="148"/>
      <c r="U87" s="148"/>
      <c r="V87" s="148"/>
      <c r="W87" s="148"/>
      <c r="X87" s="148"/>
      <c r="BO87" s="102" t="s">
        <v>462</v>
      </c>
      <c r="BP87" s="153" t="s">
        <v>632</v>
      </c>
    </row>
    <row r="88" spans="1:70" x14ac:dyDescent="0.25">
      <c r="A88" s="99"/>
      <c r="B88" s="118" t="s">
        <v>620</v>
      </c>
      <c r="C88" s="121">
        <v>42118</v>
      </c>
      <c r="D88" s="118">
        <v>1238.74</v>
      </c>
      <c r="E88" s="138">
        <v>1</v>
      </c>
      <c r="G88" s="138" t="s">
        <v>542</v>
      </c>
      <c r="H88" s="138">
        <v>20278.16010601</v>
      </c>
      <c r="I88" s="103"/>
      <c r="M88"/>
      <c r="O88" s="138" t="s">
        <v>542</v>
      </c>
      <c r="P88" s="138">
        <v>21561.8541878</v>
      </c>
      <c r="BP88" s="152">
        <v>111818</v>
      </c>
    </row>
    <row r="89" spans="1:70" x14ac:dyDescent="0.25">
      <c r="A89" s="12"/>
      <c r="B89" s="118" t="s">
        <v>258</v>
      </c>
      <c r="C89" s="121">
        <v>43348</v>
      </c>
      <c r="D89" s="118">
        <v>421.77493391000002</v>
      </c>
      <c r="E89" s="138">
        <v>1</v>
      </c>
      <c r="G89" s="138" t="s">
        <v>314</v>
      </c>
      <c r="H89" s="138">
        <v>943.71090519999996</v>
      </c>
      <c r="I89" s="103"/>
      <c r="M89"/>
      <c r="O89" s="138" t="s">
        <v>314</v>
      </c>
      <c r="P89" s="138">
        <v>964.76520803999995</v>
      </c>
      <c r="BP89" s="152"/>
    </row>
    <row r="90" spans="1:70" x14ac:dyDescent="0.25">
      <c r="A90" s="97"/>
      <c r="B90" s="118" t="s">
        <v>265</v>
      </c>
      <c r="C90" s="121">
        <v>41411</v>
      </c>
      <c r="D90" s="118">
        <v>2240.63</v>
      </c>
      <c r="E90" s="138">
        <v>1</v>
      </c>
      <c r="F90" s="134"/>
      <c r="G90" s="138" t="s">
        <v>316</v>
      </c>
      <c r="H90" s="138">
        <v>4008.8381538899998</v>
      </c>
      <c r="I90" s="103"/>
      <c r="M90"/>
      <c r="O90" s="138" t="s">
        <v>316</v>
      </c>
      <c r="P90" s="138">
        <v>4119.7166405600001</v>
      </c>
      <c r="BO90" s="102" t="s">
        <v>463</v>
      </c>
      <c r="BP90" s="153" t="s">
        <v>632</v>
      </c>
    </row>
    <row r="91" spans="1:70" x14ac:dyDescent="0.25">
      <c r="A91" s="97"/>
      <c r="B91" s="118" t="s">
        <v>94</v>
      </c>
      <c r="C91" s="121">
        <v>44622</v>
      </c>
      <c r="D91" s="118">
        <v>50476.602841729997</v>
      </c>
      <c r="E91" s="138">
        <v>1</v>
      </c>
      <c r="F91" s="134"/>
      <c r="G91" s="138" t="s">
        <v>317</v>
      </c>
      <c r="H91" s="138">
        <v>12573.414097929999</v>
      </c>
      <c r="I91" s="103"/>
      <c r="M91"/>
      <c r="O91" s="138" t="s">
        <v>317</v>
      </c>
      <c r="P91" s="138">
        <v>13348.42313458</v>
      </c>
      <c r="BP91" s="152">
        <v>44637</v>
      </c>
    </row>
    <row r="92" spans="1:70" x14ac:dyDescent="0.25">
      <c r="A92" s="97"/>
      <c r="B92" s="118" t="s">
        <v>278</v>
      </c>
      <c r="C92" s="121">
        <v>44622</v>
      </c>
      <c r="D92" s="118">
        <v>32642.6</v>
      </c>
      <c r="E92" s="138">
        <v>1</v>
      </c>
      <c r="F92" s="134"/>
      <c r="G92" s="138" t="s">
        <v>543</v>
      </c>
      <c r="H92" s="138">
        <v>799.49777059999997</v>
      </c>
      <c r="I92" s="103"/>
      <c r="M92"/>
      <c r="O92" s="138" t="s">
        <v>543</v>
      </c>
      <c r="P92" s="138">
        <v>863.80167852</v>
      </c>
    </row>
    <row r="93" spans="1:70" x14ac:dyDescent="0.25">
      <c r="A93" s="99"/>
      <c r="B93" s="118" t="s">
        <v>285</v>
      </c>
      <c r="C93" s="121">
        <v>42521</v>
      </c>
      <c r="D93" s="118">
        <v>12393.618495070001</v>
      </c>
      <c r="E93" s="138">
        <v>1</v>
      </c>
      <c r="F93" s="134"/>
      <c r="G93" s="138" t="s">
        <v>544</v>
      </c>
      <c r="H93" s="138">
        <v>183.73765159999999</v>
      </c>
      <c r="I93" s="103"/>
      <c r="M93"/>
      <c r="O93" s="138" t="s">
        <v>544</v>
      </c>
      <c r="P93" s="138">
        <v>199.16912929</v>
      </c>
    </row>
    <row r="94" spans="1:70" x14ac:dyDescent="0.25">
      <c r="B94" s="118" t="s">
        <v>288</v>
      </c>
      <c r="C94" s="121">
        <v>42030</v>
      </c>
      <c r="D94" s="118">
        <v>42581.471937620001</v>
      </c>
      <c r="E94" s="138">
        <v>1</v>
      </c>
      <c r="G94" s="138" t="s">
        <v>545</v>
      </c>
      <c r="H94" s="138">
        <v>5827.7181979799998</v>
      </c>
      <c r="I94" s="103"/>
      <c r="M94"/>
      <c r="O94" s="138" t="s">
        <v>545</v>
      </c>
      <c r="P94" s="138">
        <v>6426.2069105500004</v>
      </c>
    </row>
    <row r="95" spans="1:70" x14ac:dyDescent="0.25">
      <c r="A95" s="12"/>
      <c r="B95" s="118" t="s">
        <v>289</v>
      </c>
      <c r="C95" s="121">
        <v>43125</v>
      </c>
      <c r="D95" s="118">
        <v>6026.6277274599997</v>
      </c>
      <c r="E95" s="138">
        <v>1</v>
      </c>
      <c r="G95" s="138" t="s">
        <v>546</v>
      </c>
      <c r="H95" s="138">
        <v>16851.330940200001</v>
      </c>
      <c r="I95" s="103"/>
      <c r="M95"/>
      <c r="O95" s="138" t="s">
        <v>546</v>
      </c>
      <c r="P95" s="138">
        <v>17887.141505259999</v>
      </c>
    </row>
    <row r="96" spans="1:70" x14ac:dyDescent="0.25">
      <c r="A96" s="97"/>
      <c r="B96" s="118" t="s">
        <v>70</v>
      </c>
      <c r="C96" s="121">
        <v>44221</v>
      </c>
      <c r="D96" s="118">
        <v>26624.575161000001</v>
      </c>
      <c r="E96" s="138">
        <v>1</v>
      </c>
      <c r="F96" s="134"/>
      <c r="G96" s="138" t="s">
        <v>547</v>
      </c>
      <c r="H96" s="138">
        <v>8754.3095547199991</v>
      </c>
      <c r="I96" s="103"/>
      <c r="M96"/>
      <c r="O96" s="138" t="s">
        <v>547</v>
      </c>
      <c r="P96" s="138">
        <v>9600.0891562300003</v>
      </c>
    </row>
    <row r="97" spans="1:16" x14ac:dyDescent="0.25">
      <c r="A97" s="97"/>
      <c r="B97" s="118" t="s">
        <v>78</v>
      </c>
      <c r="C97" s="121">
        <v>43125</v>
      </c>
      <c r="D97" s="118">
        <v>48467.669364840003</v>
      </c>
      <c r="E97" s="138">
        <v>1</v>
      </c>
      <c r="F97" s="134"/>
      <c r="G97" s="138" t="s">
        <v>548</v>
      </c>
      <c r="H97" s="138">
        <v>633.14532534</v>
      </c>
      <c r="I97" s="103"/>
      <c r="M97"/>
      <c r="O97" s="138" t="s">
        <v>548</v>
      </c>
      <c r="P97" s="138">
        <v>1117.42338986</v>
      </c>
    </row>
    <row r="98" spans="1:16" x14ac:dyDescent="0.25">
      <c r="A98" s="97"/>
      <c r="B98" s="118" t="s">
        <v>80</v>
      </c>
      <c r="C98" s="121">
        <v>42222</v>
      </c>
      <c r="D98" s="118">
        <v>71088.506129760004</v>
      </c>
      <c r="E98" s="138">
        <v>1</v>
      </c>
      <c r="F98" s="134"/>
      <c r="G98" s="138" t="s">
        <v>549</v>
      </c>
      <c r="H98" s="138">
        <v>3165.5707096000001</v>
      </c>
      <c r="I98" s="103"/>
      <c r="M98"/>
      <c r="O98" s="138" t="s">
        <v>549</v>
      </c>
      <c r="P98" s="138">
        <v>3270.0404029800002</v>
      </c>
    </row>
    <row r="99" spans="1:16" x14ac:dyDescent="0.25">
      <c r="A99" s="97"/>
      <c r="B99" s="118" t="s">
        <v>295</v>
      </c>
      <c r="C99" s="121">
        <v>43627</v>
      </c>
      <c r="D99" s="118">
        <v>3193.7852788199998</v>
      </c>
      <c r="E99" s="138">
        <v>1</v>
      </c>
      <c r="F99" s="134"/>
      <c r="G99" s="138" t="s">
        <v>550</v>
      </c>
      <c r="H99" s="138">
        <v>8003.6888944700004</v>
      </c>
      <c r="I99" s="103"/>
      <c r="M99"/>
      <c r="O99" s="138" t="s">
        <v>550</v>
      </c>
      <c r="P99" s="138">
        <v>8323.83645024</v>
      </c>
    </row>
    <row r="100" spans="1:16" x14ac:dyDescent="0.25">
      <c r="B100" s="118" t="s">
        <v>537</v>
      </c>
      <c r="C100" s="121">
        <v>42488</v>
      </c>
      <c r="D100" s="118">
        <v>19062.31522</v>
      </c>
      <c r="E100" s="138">
        <v>1</v>
      </c>
      <c r="G100" s="138" t="s">
        <v>551</v>
      </c>
      <c r="H100" s="138">
        <v>29324.999174789999</v>
      </c>
      <c r="I100" s="103"/>
      <c r="M100"/>
      <c r="O100" s="138" t="s">
        <v>551</v>
      </c>
      <c r="P100" s="138">
        <v>31900.585337659999</v>
      </c>
    </row>
    <row r="101" spans="1:16" x14ac:dyDescent="0.25">
      <c r="B101" s="118" t="s">
        <v>299</v>
      </c>
      <c r="C101" s="121">
        <v>43165</v>
      </c>
      <c r="D101" s="118">
        <v>47641.71241624</v>
      </c>
      <c r="E101" s="138">
        <v>1</v>
      </c>
      <c r="F101" s="134"/>
      <c r="G101" s="138" t="s">
        <v>552</v>
      </c>
      <c r="H101" s="138">
        <v>71961.728108340001</v>
      </c>
      <c r="I101" s="103"/>
      <c r="M101"/>
      <c r="O101" s="138" t="s">
        <v>552</v>
      </c>
      <c r="P101" s="138">
        <v>78926.726425400004</v>
      </c>
    </row>
    <row r="102" spans="1:16" x14ac:dyDescent="0.25">
      <c r="B102" s="118" t="s">
        <v>300</v>
      </c>
      <c r="C102" s="121">
        <v>42374</v>
      </c>
      <c r="D102" s="118">
        <v>1792.3439825099999</v>
      </c>
      <c r="E102" s="138">
        <v>1</v>
      </c>
      <c r="G102" s="138" t="s">
        <v>553</v>
      </c>
      <c r="H102" s="138">
        <v>1196.4174818700001</v>
      </c>
      <c r="I102" s="103"/>
      <c r="M102"/>
      <c r="O102" s="138" t="s">
        <v>553</v>
      </c>
      <c r="P102" s="138">
        <v>1187.7397727600001</v>
      </c>
    </row>
    <row r="103" spans="1:16" x14ac:dyDescent="0.25">
      <c r="A103" s="12"/>
      <c r="B103" s="118" t="s">
        <v>308</v>
      </c>
      <c r="C103" s="121">
        <v>43220</v>
      </c>
      <c r="D103" s="118">
        <v>60.391819920000003</v>
      </c>
      <c r="E103" s="138">
        <v>1</v>
      </c>
      <c r="F103" s="134"/>
      <c r="G103" s="138" t="s">
        <v>506</v>
      </c>
      <c r="H103" s="138">
        <v>303.3932686</v>
      </c>
      <c r="I103" s="103"/>
      <c r="M103"/>
      <c r="O103" s="138" t="s">
        <v>506</v>
      </c>
      <c r="P103" s="138">
        <v>334.69722177</v>
      </c>
    </row>
    <row r="104" spans="1:16" x14ac:dyDescent="0.25">
      <c r="B104" s="118" t="s">
        <v>509</v>
      </c>
      <c r="C104" s="121">
        <v>44622</v>
      </c>
      <c r="D104" s="118">
        <v>63059.854592180003</v>
      </c>
      <c r="E104" s="138">
        <v>1</v>
      </c>
      <c r="F104" s="134"/>
      <c r="G104" s="138" t="s">
        <v>554</v>
      </c>
      <c r="H104" s="138">
        <v>4279.82660691</v>
      </c>
      <c r="I104" s="103"/>
      <c r="M104"/>
      <c r="O104" s="138" t="s">
        <v>554</v>
      </c>
      <c r="P104" s="138">
        <v>5559.2456719399997</v>
      </c>
    </row>
    <row r="105" spans="1:16" x14ac:dyDescent="0.25">
      <c r="B105" s="118" t="s">
        <v>313</v>
      </c>
      <c r="C105" s="121">
        <v>44953</v>
      </c>
      <c r="D105" s="118">
        <v>15215.25711737</v>
      </c>
      <c r="E105" s="138">
        <v>1</v>
      </c>
      <c r="F105" s="134"/>
      <c r="G105" s="138" t="s">
        <v>555</v>
      </c>
      <c r="H105" s="138">
        <v>6263.0899502800003</v>
      </c>
      <c r="I105" s="103"/>
      <c r="M105"/>
      <c r="O105" s="138" t="s">
        <v>555</v>
      </c>
      <c r="P105" s="138">
        <v>6618.6097217500001</v>
      </c>
    </row>
    <row r="106" spans="1:16" x14ac:dyDescent="0.25">
      <c r="B106" s="118" t="s">
        <v>543</v>
      </c>
      <c r="C106" s="121">
        <v>44287</v>
      </c>
      <c r="D106" s="118">
        <v>1055.7125234600001</v>
      </c>
      <c r="E106" s="138">
        <v>1</v>
      </c>
      <c r="F106" s="134"/>
      <c r="G106" s="138" t="s">
        <v>556</v>
      </c>
      <c r="H106" s="138">
        <v>3171.45178068</v>
      </c>
      <c r="I106" s="103"/>
      <c r="M106"/>
      <c r="O106" s="138" t="s">
        <v>556</v>
      </c>
      <c r="P106" s="138">
        <v>3055.3825264799998</v>
      </c>
    </row>
    <row r="107" spans="1:16" x14ac:dyDescent="0.25">
      <c r="B107" s="118" t="s">
        <v>328</v>
      </c>
      <c r="C107" s="121">
        <v>42193</v>
      </c>
      <c r="D107" s="118">
        <v>9363.98</v>
      </c>
      <c r="E107" s="138">
        <v>1</v>
      </c>
      <c r="F107" s="134"/>
      <c r="G107" s="138" t="s">
        <v>557</v>
      </c>
      <c r="H107" s="138">
        <v>4866.5196268099999</v>
      </c>
      <c r="I107" s="103"/>
      <c r="M107"/>
      <c r="O107" s="138" t="s">
        <v>557</v>
      </c>
      <c r="P107" s="138">
        <v>5523.1992655200002</v>
      </c>
    </row>
    <row r="108" spans="1:16" x14ac:dyDescent="0.25">
      <c r="B108" s="118" t="s">
        <v>559</v>
      </c>
      <c r="C108" s="121">
        <v>45042</v>
      </c>
      <c r="D108" s="118">
        <v>238.21615220999999</v>
      </c>
      <c r="E108" s="138">
        <v>1</v>
      </c>
      <c r="G108" s="138" t="s">
        <v>558</v>
      </c>
      <c r="H108" s="138">
        <v>3086.3386517499998</v>
      </c>
      <c r="I108" s="103"/>
      <c r="M108"/>
      <c r="O108" s="138" t="s">
        <v>558</v>
      </c>
      <c r="P108" s="138">
        <v>3227.1285351400002</v>
      </c>
    </row>
    <row r="109" spans="1:16" x14ac:dyDescent="0.25">
      <c r="B109" s="118" t="s">
        <v>562</v>
      </c>
      <c r="C109" s="121">
        <v>44673</v>
      </c>
      <c r="D109" s="118">
        <v>14011.686052290001</v>
      </c>
      <c r="E109" s="138">
        <v>1</v>
      </c>
      <c r="G109" s="138" t="s">
        <v>559</v>
      </c>
      <c r="H109" s="138">
        <v>205.13847403</v>
      </c>
      <c r="I109" s="103"/>
      <c r="M109"/>
      <c r="O109" s="138" t="s">
        <v>559</v>
      </c>
      <c r="P109" s="138">
        <v>232.56233098000001</v>
      </c>
    </row>
    <row r="110" spans="1:16" x14ac:dyDescent="0.25">
      <c r="B110" s="118" t="s">
        <v>339</v>
      </c>
      <c r="C110" s="121">
        <v>44204</v>
      </c>
      <c r="D110" s="118">
        <v>125491.21</v>
      </c>
      <c r="E110" s="138">
        <v>1</v>
      </c>
      <c r="G110" s="138" t="s">
        <v>560</v>
      </c>
      <c r="H110" s="138">
        <v>5080.776879</v>
      </c>
      <c r="I110" s="103"/>
      <c r="M110"/>
      <c r="O110" s="138" t="s">
        <v>560</v>
      </c>
      <c r="P110" s="138">
        <v>5996.2319562000002</v>
      </c>
    </row>
    <row r="111" spans="1:16" x14ac:dyDescent="0.25">
      <c r="B111" s="118" t="s">
        <v>571</v>
      </c>
      <c r="C111" s="121">
        <v>44718</v>
      </c>
      <c r="D111" s="118">
        <v>22562.675076759999</v>
      </c>
      <c r="E111" s="138">
        <v>1</v>
      </c>
      <c r="G111" s="138" t="s">
        <v>561</v>
      </c>
      <c r="H111" s="138">
        <v>8052.9769169800002</v>
      </c>
      <c r="I111" s="103"/>
      <c r="M111"/>
      <c r="O111" s="138" t="s">
        <v>561</v>
      </c>
      <c r="P111" s="138">
        <v>8572.0291731599991</v>
      </c>
    </row>
    <row r="112" spans="1:16" x14ac:dyDescent="0.25">
      <c r="B112" s="118" t="s">
        <v>349</v>
      </c>
      <c r="C112" s="121">
        <v>43875</v>
      </c>
      <c r="D112" s="118">
        <v>13392.1</v>
      </c>
      <c r="E112" s="138">
        <v>1</v>
      </c>
      <c r="G112" s="138" t="s">
        <v>562</v>
      </c>
      <c r="H112" s="138">
        <v>12546.47481243</v>
      </c>
      <c r="I112" s="103"/>
      <c r="M112"/>
      <c r="O112" s="138" t="s">
        <v>562</v>
      </c>
      <c r="P112" s="138">
        <v>13786.98433924</v>
      </c>
    </row>
    <row r="113" spans="2:16" x14ac:dyDescent="0.25">
      <c r="B113" s="118" t="s">
        <v>356</v>
      </c>
      <c r="C113" s="121">
        <v>42069</v>
      </c>
      <c r="D113" s="118">
        <v>31823.85</v>
      </c>
      <c r="E113" s="138">
        <v>1</v>
      </c>
      <c r="G113" s="138" t="s">
        <v>563</v>
      </c>
      <c r="H113" s="138">
        <v>10.82502601</v>
      </c>
      <c r="I113" s="103"/>
      <c r="M113"/>
      <c r="O113" s="138" t="s">
        <v>563</v>
      </c>
      <c r="P113" s="138">
        <v>12.41031424</v>
      </c>
    </row>
    <row r="114" spans="2:16" x14ac:dyDescent="0.25">
      <c r="B114" s="118" t="s">
        <v>361</v>
      </c>
      <c r="C114" s="121">
        <v>44622</v>
      </c>
      <c r="D114" s="118">
        <v>8772.94</v>
      </c>
      <c r="E114" s="138">
        <v>1</v>
      </c>
      <c r="G114" s="138" t="s">
        <v>564</v>
      </c>
      <c r="H114" s="138">
        <v>9463.5990741000005</v>
      </c>
      <c r="I114" s="103"/>
      <c r="M114"/>
      <c r="O114" s="138" t="s">
        <v>564</v>
      </c>
      <c r="P114" s="138">
        <v>9942.7686474700004</v>
      </c>
    </row>
    <row r="115" spans="2:16" x14ac:dyDescent="0.25">
      <c r="B115" s="118" t="s">
        <v>364</v>
      </c>
      <c r="C115" s="121">
        <v>44986</v>
      </c>
      <c r="D115" s="118">
        <v>20864.099999999999</v>
      </c>
      <c r="E115" s="138">
        <v>1</v>
      </c>
      <c r="G115" s="138" t="s">
        <v>565</v>
      </c>
      <c r="H115" s="138">
        <v>122.38718062</v>
      </c>
      <c r="I115" s="103"/>
      <c r="M115"/>
      <c r="O115" s="138" t="s">
        <v>565</v>
      </c>
      <c r="P115" s="138">
        <v>122.55566777999999</v>
      </c>
    </row>
    <row r="116" spans="2:16" x14ac:dyDescent="0.25">
      <c r="B116" s="118" t="s">
        <v>576</v>
      </c>
      <c r="C116" s="121">
        <v>44467</v>
      </c>
      <c r="D116" s="118">
        <v>16339.24</v>
      </c>
      <c r="E116" s="138">
        <v>1</v>
      </c>
      <c r="G116" s="138" t="s">
        <v>566</v>
      </c>
      <c r="H116" s="138">
        <v>3688.8374573800002</v>
      </c>
      <c r="I116" s="103"/>
      <c r="M116"/>
      <c r="O116" s="138" t="s">
        <v>566</v>
      </c>
      <c r="P116" s="138">
        <v>3780.90494799</v>
      </c>
    </row>
    <row r="117" spans="2:16" x14ac:dyDescent="0.25">
      <c r="B117" s="118" t="s">
        <v>577</v>
      </c>
      <c r="C117" s="121">
        <v>44649</v>
      </c>
      <c r="D117" s="118">
        <v>10969.18</v>
      </c>
      <c r="E117" s="138">
        <v>1</v>
      </c>
      <c r="G117" s="138" t="s">
        <v>567</v>
      </c>
      <c r="H117" s="138">
        <v>215.48354814000001</v>
      </c>
      <c r="I117" s="103"/>
      <c r="M117"/>
      <c r="O117" s="138" t="s">
        <v>567</v>
      </c>
      <c r="P117" s="138">
        <v>215.36871876999999</v>
      </c>
    </row>
    <row r="118" spans="2:16" x14ac:dyDescent="0.25">
      <c r="B118" s="118" t="s">
        <v>581</v>
      </c>
      <c r="C118" s="121">
        <v>44603</v>
      </c>
      <c r="D118" s="118">
        <v>9797.7000000000007</v>
      </c>
      <c r="E118" s="138">
        <v>1</v>
      </c>
      <c r="G118" s="138" t="s">
        <v>568</v>
      </c>
      <c r="H118" s="138">
        <v>73586.058653069995</v>
      </c>
      <c r="I118" s="103"/>
      <c r="M118"/>
      <c r="O118" s="138" t="s">
        <v>568</v>
      </c>
      <c r="P118" s="138">
        <v>70095.610866360003</v>
      </c>
    </row>
    <row r="119" spans="2:16" x14ac:dyDescent="0.25">
      <c r="B119" s="118" t="s">
        <v>583</v>
      </c>
      <c r="C119" s="121">
        <v>44820</v>
      </c>
      <c r="D119" s="118">
        <v>93800</v>
      </c>
      <c r="E119" s="138">
        <v>1</v>
      </c>
      <c r="G119" s="138" t="s">
        <v>569</v>
      </c>
      <c r="H119" s="138">
        <v>29205.206519890002</v>
      </c>
      <c r="I119" s="103"/>
      <c r="M119"/>
      <c r="O119" s="138" t="s">
        <v>569</v>
      </c>
      <c r="P119" s="138">
        <v>29783.872019189999</v>
      </c>
    </row>
    <row r="120" spans="2:16" x14ac:dyDescent="0.25">
      <c r="B120" s="118" t="s">
        <v>606</v>
      </c>
      <c r="C120" s="121">
        <v>45013</v>
      </c>
      <c r="D120" s="118">
        <v>2307.46</v>
      </c>
      <c r="E120" s="138">
        <v>1</v>
      </c>
      <c r="G120" s="138" t="s">
        <v>570</v>
      </c>
      <c r="H120" s="138">
        <v>61310.995229610002</v>
      </c>
      <c r="I120" s="103"/>
      <c r="M120"/>
      <c r="O120" s="138" t="s">
        <v>570</v>
      </c>
      <c r="P120" s="138">
        <v>62522.729685320002</v>
      </c>
    </row>
    <row r="121" spans="2:16" x14ac:dyDescent="0.25">
      <c r="B121" s="118" t="s">
        <v>613</v>
      </c>
      <c r="C121" s="121">
        <v>44718</v>
      </c>
      <c r="D121" s="118">
        <v>8668.19</v>
      </c>
      <c r="E121" s="138">
        <v>1</v>
      </c>
      <c r="G121" s="138" t="s">
        <v>571</v>
      </c>
      <c r="H121" s="138">
        <v>12610.685950519999</v>
      </c>
      <c r="I121" s="103"/>
      <c r="M121"/>
      <c r="O121" s="138" t="s">
        <v>571</v>
      </c>
      <c r="P121" s="138">
        <v>12929.48916051</v>
      </c>
    </row>
    <row r="122" spans="2:16" x14ac:dyDescent="0.25">
      <c r="B122" s="118" t="s">
        <v>373</v>
      </c>
      <c r="C122" s="121">
        <v>38665</v>
      </c>
      <c r="D122" s="118">
        <v>225.62</v>
      </c>
      <c r="E122" s="138">
        <v>1</v>
      </c>
      <c r="G122" s="138" t="s">
        <v>572</v>
      </c>
      <c r="H122" s="138">
        <v>129629.4326023</v>
      </c>
      <c r="I122" s="103"/>
      <c r="M122"/>
      <c r="O122" s="138" t="s">
        <v>572</v>
      </c>
      <c r="P122" s="138">
        <v>157385.07611155001</v>
      </c>
    </row>
    <row r="123" spans="2:16" x14ac:dyDescent="0.25">
      <c r="B123" s="118" t="s">
        <v>387</v>
      </c>
      <c r="C123" s="121">
        <v>38713</v>
      </c>
      <c r="D123" s="118">
        <v>141.75</v>
      </c>
      <c r="E123" s="138">
        <v>1</v>
      </c>
      <c r="G123" s="138" t="s">
        <v>573</v>
      </c>
      <c r="H123" s="138">
        <v>20233.56697204</v>
      </c>
      <c r="I123" s="103"/>
      <c r="M123"/>
      <c r="O123" s="138" t="s">
        <v>573</v>
      </c>
      <c r="P123" s="138">
        <v>15504.493974229999</v>
      </c>
    </row>
    <row r="124" spans="2:16" x14ac:dyDescent="0.25">
      <c r="B124" s="118" t="s">
        <v>390</v>
      </c>
      <c r="C124" s="121">
        <v>38705</v>
      </c>
      <c r="D124" s="118">
        <v>217.85</v>
      </c>
      <c r="E124" s="138">
        <v>1</v>
      </c>
      <c r="G124" s="138" t="s">
        <v>361</v>
      </c>
      <c r="H124" s="138">
        <v>6787.11</v>
      </c>
      <c r="I124" s="103"/>
      <c r="M124"/>
      <c r="O124" s="138" t="s">
        <v>361</v>
      </c>
      <c r="P124" s="138">
        <v>6939.16</v>
      </c>
    </row>
    <row r="125" spans="2:16" x14ac:dyDescent="0.25">
      <c r="B125" s="118" t="s">
        <v>394</v>
      </c>
      <c r="C125" s="121">
        <v>40577</v>
      </c>
      <c r="D125" s="118">
        <v>493.46</v>
      </c>
      <c r="E125" s="138">
        <v>1</v>
      </c>
      <c r="G125" s="138" t="s">
        <v>362</v>
      </c>
      <c r="H125" s="138">
        <v>22209.06</v>
      </c>
      <c r="I125" s="103"/>
      <c r="M125"/>
      <c r="O125" s="138" t="s">
        <v>362</v>
      </c>
      <c r="P125" s="138">
        <v>23858.83</v>
      </c>
    </row>
    <row r="126" spans="2:16" x14ac:dyDescent="0.25">
      <c r="B126" s="118" t="s">
        <v>395</v>
      </c>
      <c r="C126" s="121">
        <v>39618</v>
      </c>
      <c r="D126" s="118">
        <v>303</v>
      </c>
      <c r="E126" s="138">
        <v>1</v>
      </c>
      <c r="G126" s="138" t="s">
        <v>363</v>
      </c>
      <c r="H126" s="138">
        <v>11838.71</v>
      </c>
      <c r="I126" s="103"/>
      <c r="M126"/>
      <c r="O126" s="138" t="s">
        <v>363</v>
      </c>
      <c r="P126" s="138">
        <v>12910.91</v>
      </c>
    </row>
    <row r="127" spans="2:16" x14ac:dyDescent="0.25">
      <c r="B127" s="118" t="s">
        <v>402</v>
      </c>
      <c r="C127" s="121">
        <v>39394</v>
      </c>
      <c r="D127" s="118">
        <v>363.69</v>
      </c>
      <c r="E127" s="138">
        <v>1</v>
      </c>
      <c r="G127" s="138" t="s">
        <v>364</v>
      </c>
      <c r="H127" s="138">
        <v>18662.61</v>
      </c>
      <c r="I127" s="103"/>
      <c r="M127"/>
      <c r="O127" s="138" t="s">
        <v>364</v>
      </c>
      <c r="P127" s="138">
        <v>20059.830000000002</v>
      </c>
    </row>
    <row r="128" spans="2:16" x14ac:dyDescent="0.25">
      <c r="B128" s="118" t="s">
        <v>403</v>
      </c>
      <c r="C128" s="121">
        <v>42227</v>
      </c>
      <c r="D128" s="118">
        <v>4215.8333879900001</v>
      </c>
      <c r="E128" s="138">
        <v>1</v>
      </c>
      <c r="G128" s="138" t="s">
        <v>365</v>
      </c>
      <c r="H128" s="138">
        <v>7699.47</v>
      </c>
      <c r="I128" s="103"/>
      <c r="M128"/>
      <c r="O128" s="138" t="s">
        <v>365</v>
      </c>
      <c r="P128" s="138">
        <v>7884.42</v>
      </c>
    </row>
    <row r="129" spans="2:16" x14ac:dyDescent="0.25">
      <c r="B129" s="118" t="s">
        <v>221</v>
      </c>
      <c r="C129" s="121">
        <v>38716</v>
      </c>
      <c r="D129" s="118">
        <v>18207.32</v>
      </c>
      <c r="E129" s="138">
        <v>1</v>
      </c>
      <c r="G129" s="138" t="s">
        <v>366</v>
      </c>
      <c r="H129" s="138">
        <v>19651.099999999999</v>
      </c>
      <c r="I129" s="103"/>
      <c r="M129"/>
      <c r="O129" s="138" t="s">
        <v>366</v>
      </c>
      <c r="P129" s="138">
        <v>21123.13</v>
      </c>
    </row>
    <row r="130" spans="2:16" x14ac:dyDescent="0.25">
      <c r="B130" s="118" t="s">
        <v>230</v>
      </c>
      <c r="C130" s="121">
        <v>38709</v>
      </c>
      <c r="D130" s="118">
        <v>34691.21</v>
      </c>
      <c r="E130" s="138">
        <v>1</v>
      </c>
      <c r="G130" s="138" t="s">
        <v>367</v>
      </c>
      <c r="H130" s="138">
        <v>11155.11</v>
      </c>
      <c r="I130" s="103"/>
      <c r="M130"/>
      <c r="O130" s="138" t="s">
        <v>367</v>
      </c>
      <c r="P130" s="138">
        <v>12110.95</v>
      </c>
    </row>
    <row r="131" spans="2:16" x14ac:dyDescent="0.25">
      <c r="B131" s="118" t="s">
        <v>239</v>
      </c>
      <c r="C131" s="121">
        <v>38713</v>
      </c>
      <c r="D131" s="118">
        <v>1846.94</v>
      </c>
      <c r="E131" s="138">
        <v>1</v>
      </c>
      <c r="G131" s="138" t="s">
        <v>368</v>
      </c>
      <c r="H131" s="138">
        <v>16186.65</v>
      </c>
      <c r="I131" s="103"/>
      <c r="M131"/>
      <c r="O131" s="138" t="s">
        <v>368</v>
      </c>
      <c r="P131" s="138">
        <v>17465.23</v>
      </c>
    </row>
    <row r="132" spans="2:16" x14ac:dyDescent="0.25">
      <c r="B132" s="118" t="s">
        <v>86</v>
      </c>
      <c r="C132" s="121">
        <v>41849</v>
      </c>
      <c r="D132" s="118">
        <v>22461.45680964</v>
      </c>
      <c r="E132" s="138">
        <v>1</v>
      </c>
      <c r="G132" s="138" t="s">
        <v>574</v>
      </c>
      <c r="H132" s="138">
        <v>13701.27</v>
      </c>
      <c r="I132" s="103"/>
      <c r="M132"/>
      <c r="O132" s="138" t="s">
        <v>574</v>
      </c>
      <c r="P132" s="138">
        <v>14803.27</v>
      </c>
    </row>
    <row r="133" spans="2:16" x14ac:dyDescent="0.25">
      <c r="B133" s="118" t="s">
        <v>246</v>
      </c>
      <c r="C133" s="121">
        <v>43347</v>
      </c>
      <c r="D133" s="118">
        <v>28871.375256529998</v>
      </c>
      <c r="E133" s="138">
        <v>1</v>
      </c>
      <c r="G133" s="138" t="s">
        <v>575</v>
      </c>
      <c r="H133" s="138">
        <v>6425.2</v>
      </c>
      <c r="I133" s="103"/>
      <c r="M133"/>
      <c r="O133" s="138" t="s">
        <v>575</v>
      </c>
      <c r="P133" s="138">
        <v>6964.83</v>
      </c>
    </row>
    <row r="134" spans="2:16" x14ac:dyDescent="0.25">
      <c r="B134" s="118" t="s">
        <v>250</v>
      </c>
      <c r="C134" s="121">
        <v>37970</v>
      </c>
      <c r="D134" s="118">
        <v>1201.19</v>
      </c>
      <c r="E134" s="138">
        <v>1</v>
      </c>
      <c r="G134" s="138" t="s">
        <v>576</v>
      </c>
      <c r="H134" s="138">
        <v>13791.62</v>
      </c>
      <c r="I134" s="103"/>
      <c r="M134"/>
      <c r="O134" s="138" t="s">
        <v>576</v>
      </c>
      <c r="P134" s="138">
        <v>14775.12</v>
      </c>
    </row>
    <row r="135" spans="2:16" x14ac:dyDescent="0.25">
      <c r="B135" s="118" t="s">
        <v>44</v>
      </c>
      <c r="C135" s="121">
        <v>44652</v>
      </c>
      <c r="D135" s="118">
        <v>84924.77169727</v>
      </c>
      <c r="E135" s="138">
        <v>1</v>
      </c>
      <c r="G135" s="138" t="s">
        <v>577</v>
      </c>
      <c r="H135" s="138">
        <v>8719.25</v>
      </c>
      <c r="I135" s="103"/>
      <c r="M135"/>
      <c r="O135" s="138" t="s">
        <v>577</v>
      </c>
      <c r="P135" s="138">
        <v>9502.07</v>
      </c>
    </row>
    <row r="136" spans="2:16" x14ac:dyDescent="0.25">
      <c r="B136" s="118" t="s">
        <v>621</v>
      </c>
      <c r="C136" s="121">
        <v>42115</v>
      </c>
      <c r="D136" s="118">
        <v>1374.4866460000001</v>
      </c>
      <c r="E136" s="138">
        <v>1</v>
      </c>
      <c r="G136" s="138" t="s">
        <v>578</v>
      </c>
      <c r="H136" s="138">
        <v>1019.44</v>
      </c>
      <c r="I136" s="103"/>
      <c r="M136"/>
      <c r="O136" s="138" t="s">
        <v>578</v>
      </c>
      <c r="P136" s="138">
        <v>1082.49</v>
      </c>
    </row>
    <row r="137" spans="2:16" x14ac:dyDescent="0.25">
      <c r="B137" s="118" t="s">
        <v>622</v>
      </c>
      <c r="C137" s="121">
        <v>42118</v>
      </c>
      <c r="D137" s="118">
        <v>1225.1600000000001</v>
      </c>
      <c r="E137" s="138">
        <v>1</v>
      </c>
      <c r="G137" s="138" t="s">
        <v>579</v>
      </c>
      <c r="H137" s="138">
        <v>47367.7</v>
      </c>
      <c r="I137" s="103"/>
      <c r="M137"/>
      <c r="O137" s="138" t="s">
        <v>579</v>
      </c>
      <c r="P137" s="138">
        <v>49429.75</v>
      </c>
    </row>
    <row r="138" spans="2:16" x14ac:dyDescent="0.25">
      <c r="B138" s="118" t="s">
        <v>533</v>
      </c>
      <c r="C138" s="121">
        <v>44953</v>
      </c>
      <c r="D138" s="118">
        <v>78555.606320770006</v>
      </c>
      <c r="E138" s="138">
        <v>1</v>
      </c>
      <c r="G138" s="138" t="s">
        <v>580</v>
      </c>
      <c r="H138" s="138">
        <v>14684.28</v>
      </c>
      <c r="I138" s="103"/>
      <c r="M138"/>
      <c r="O138" s="138" t="s">
        <v>580</v>
      </c>
      <c r="P138" s="138">
        <v>16180.26</v>
      </c>
    </row>
    <row r="139" spans="2:16" x14ac:dyDescent="0.25">
      <c r="B139" s="118" t="s">
        <v>60</v>
      </c>
      <c r="C139" s="121">
        <v>44622</v>
      </c>
      <c r="D139" s="118">
        <v>88218.677054450003</v>
      </c>
      <c r="E139" s="138">
        <v>1</v>
      </c>
      <c r="G139" s="138" t="s">
        <v>581</v>
      </c>
      <c r="H139" s="138">
        <v>8663.52</v>
      </c>
      <c r="I139" s="103"/>
      <c r="M139"/>
      <c r="O139" s="138" t="s">
        <v>581</v>
      </c>
      <c r="P139" s="138">
        <v>8949.17</v>
      </c>
    </row>
    <row r="140" spans="2:16" x14ac:dyDescent="0.25">
      <c r="B140" s="118" t="s">
        <v>264</v>
      </c>
      <c r="C140" s="121">
        <v>42032</v>
      </c>
      <c r="D140" s="118">
        <v>695.5143372</v>
      </c>
      <c r="E140" s="138">
        <v>1</v>
      </c>
      <c r="G140" s="138" t="s">
        <v>582</v>
      </c>
      <c r="H140" s="138">
        <v>9710.74</v>
      </c>
      <c r="I140" s="103"/>
      <c r="M140"/>
      <c r="O140" s="138" t="s">
        <v>582</v>
      </c>
      <c r="P140" s="138">
        <v>9894.49</v>
      </c>
    </row>
    <row r="141" spans="2:16" x14ac:dyDescent="0.25">
      <c r="B141" s="118" t="s">
        <v>269</v>
      </c>
      <c r="C141" s="121">
        <v>43125</v>
      </c>
      <c r="D141" s="118">
        <v>10936.001684839999</v>
      </c>
      <c r="E141" s="138">
        <v>1</v>
      </c>
      <c r="G141" s="138" t="s">
        <v>583</v>
      </c>
      <c r="H141" s="138">
        <v>51974.98</v>
      </c>
      <c r="I141" s="103"/>
      <c r="M141"/>
      <c r="O141" s="138" t="s">
        <v>583</v>
      </c>
      <c r="P141" s="138">
        <v>60413.72</v>
      </c>
    </row>
    <row r="142" spans="2:16" x14ac:dyDescent="0.25">
      <c r="B142" s="118" t="s">
        <v>272</v>
      </c>
      <c r="C142" s="121">
        <v>39381</v>
      </c>
      <c r="D142" s="118">
        <v>70277.3</v>
      </c>
      <c r="E142" s="138">
        <v>1</v>
      </c>
      <c r="G142" s="138" t="s">
        <v>584</v>
      </c>
      <c r="H142" s="138">
        <v>14732.9</v>
      </c>
      <c r="I142" s="103"/>
      <c r="M142"/>
      <c r="O142" s="138" t="s">
        <v>584</v>
      </c>
      <c r="P142" s="138">
        <v>15917.87</v>
      </c>
    </row>
    <row r="143" spans="2:16" x14ac:dyDescent="0.25">
      <c r="B143" s="118" t="s">
        <v>50</v>
      </c>
      <c r="C143" s="121">
        <v>44953</v>
      </c>
      <c r="D143" s="118">
        <v>40669.345547819998</v>
      </c>
      <c r="E143" s="138">
        <v>1</v>
      </c>
      <c r="G143" s="138" t="s">
        <v>585</v>
      </c>
      <c r="H143" s="138">
        <v>7100.01</v>
      </c>
      <c r="I143" s="103"/>
      <c r="M143"/>
      <c r="O143" s="138" t="s">
        <v>585</v>
      </c>
      <c r="P143" s="138">
        <v>7696.32</v>
      </c>
    </row>
    <row r="144" spans="2:16" x14ac:dyDescent="0.25">
      <c r="B144" s="118" t="s">
        <v>96</v>
      </c>
      <c r="C144" s="121">
        <v>44622</v>
      </c>
      <c r="D144" s="118">
        <v>500.14306311000001</v>
      </c>
      <c r="E144" s="138">
        <v>1</v>
      </c>
      <c r="G144" s="138" t="s">
        <v>586</v>
      </c>
      <c r="H144" s="138">
        <v>12371.14</v>
      </c>
      <c r="I144" s="103"/>
      <c r="M144"/>
      <c r="O144" s="138" t="s">
        <v>586</v>
      </c>
      <c r="P144" s="138">
        <v>13641.28</v>
      </c>
    </row>
    <row r="145" spans="2:16" x14ac:dyDescent="0.25">
      <c r="B145" s="118" t="s">
        <v>538</v>
      </c>
      <c r="C145" s="121">
        <v>42305</v>
      </c>
      <c r="D145" s="118">
        <v>18548.60542</v>
      </c>
      <c r="E145" s="138">
        <v>1</v>
      </c>
      <c r="G145" s="138" t="s">
        <v>587</v>
      </c>
      <c r="H145" s="138">
        <v>14491.72</v>
      </c>
      <c r="I145" s="103"/>
      <c r="M145"/>
      <c r="O145" s="138" t="s">
        <v>587</v>
      </c>
      <c r="P145" s="138">
        <v>15382.49</v>
      </c>
    </row>
    <row r="146" spans="2:16" x14ac:dyDescent="0.25">
      <c r="B146" s="118" t="s">
        <v>302</v>
      </c>
      <c r="C146" s="121">
        <v>42334</v>
      </c>
      <c r="D146" s="118">
        <v>5012.4318484900004</v>
      </c>
      <c r="E146" s="138">
        <v>1</v>
      </c>
      <c r="G146" s="138" t="s">
        <v>588</v>
      </c>
      <c r="H146" s="138">
        <v>11638.91</v>
      </c>
      <c r="I146" s="103"/>
      <c r="M146"/>
      <c r="O146" s="138" t="s">
        <v>588</v>
      </c>
      <c r="P146" s="138">
        <v>12798.53</v>
      </c>
    </row>
    <row r="147" spans="2:16" x14ac:dyDescent="0.25">
      <c r="B147" s="118" t="s">
        <v>307</v>
      </c>
      <c r="C147" s="121">
        <v>45076</v>
      </c>
      <c r="D147" s="118">
        <v>168.42030607999999</v>
      </c>
      <c r="E147" s="138">
        <v>1</v>
      </c>
      <c r="G147" s="138" t="s">
        <v>589</v>
      </c>
      <c r="H147" s="138">
        <v>1413.08</v>
      </c>
      <c r="I147" s="103"/>
      <c r="M147"/>
      <c r="O147" s="138" t="s">
        <v>589</v>
      </c>
      <c r="P147" s="138">
        <v>2493.91</v>
      </c>
    </row>
    <row r="148" spans="2:16" x14ac:dyDescent="0.25">
      <c r="B148" s="118" t="s">
        <v>517</v>
      </c>
      <c r="C148" s="121">
        <v>44622</v>
      </c>
      <c r="D148" s="118">
        <v>8885.9207809799991</v>
      </c>
      <c r="E148" s="138">
        <v>1</v>
      </c>
      <c r="G148" s="138" t="s">
        <v>590</v>
      </c>
      <c r="H148" s="138">
        <v>7064.88</v>
      </c>
      <c r="I148" s="103"/>
      <c r="M148"/>
      <c r="O148" s="138" t="s">
        <v>590</v>
      </c>
      <c r="P148" s="138">
        <v>7298.03</v>
      </c>
    </row>
    <row r="149" spans="2:16" x14ac:dyDescent="0.25">
      <c r="B149" s="118" t="s">
        <v>514</v>
      </c>
      <c r="C149" s="121">
        <v>44980</v>
      </c>
      <c r="D149" s="118">
        <v>82943.78309384</v>
      </c>
      <c r="E149" s="138">
        <v>1</v>
      </c>
      <c r="G149" s="138" t="s">
        <v>591</v>
      </c>
      <c r="H149" s="138">
        <v>18165.669999999998</v>
      </c>
      <c r="I149" s="103"/>
      <c r="M149"/>
      <c r="O149" s="138" t="s">
        <v>591</v>
      </c>
      <c r="P149" s="138">
        <v>18892.3</v>
      </c>
    </row>
    <row r="150" spans="2:16" x14ac:dyDescent="0.25">
      <c r="B150" s="118" t="s">
        <v>310</v>
      </c>
      <c r="C150" s="121">
        <v>44953</v>
      </c>
      <c r="D150" s="118">
        <v>74766.053588709998</v>
      </c>
      <c r="E150" s="138">
        <v>1</v>
      </c>
      <c r="G150" s="138" t="s">
        <v>592</v>
      </c>
      <c r="H150" s="138">
        <v>9183.8700000000008</v>
      </c>
      <c r="I150" s="103"/>
      <c r="M150"/>
      <c r="O150" s="138" t="s">
        <v>592</v>
      </c>
      <c r="P150" s="138">
        <v>9990.48</v>
      </c>
    </row>
    <row r="151" spans="2:16" x14ac:dyDescent="0.25">
      <c r="B151" s="118" t="s">
        <v>319</v>
      </c>
      <c r="C151" s="121">
        <v>43347</v>
      </c>
      <c r="D151" s="118">
        <v>11098.43</v>
      </c>
      <c r="E151" s="138">
        <v>1</v>
      </c>
      <c r="G151" s="138" t="s">
        <v>593</v>
      </c>
      <c r="H151" s="138">
        <v>17002.7</v>
      </c>
      <c r="I151" s="103"/>
      <c r="M151"/>
      <c r="O151" s="138" t="s">
        <v>593</v>
      </c>
      <c r="P151" s="138">
        <v>18648.349999999999</v>
      </c>
    </row>
    <row r="152" spans="2:16" x14ac:dyDescent="0.25">
      <c r="B152" s="118" t="s">
        <v>321</v>
      </c>
      <c r="C152" s="121">
        <v>44260</v>
      </c>
      <c r="D152" s="118">
        <v>9171.36</v>
      </c>
      <c r="E152" s="138">
        <v>1</v>
      </c>
      <c r="G152" s="138" t="s">
        <v>594</v>
      </c>
      <c r="H152" s="138">
        <v>8978.83</v>
      </c>
      <c r="I152" s="103"/>
      <c r="M152"/>
      <c r="O152" s="138" t="s">
        <v>594</v>
      </c>
      <c r="P152" s="138">
        <v>8913.7099999999991</v>
      </c>
    </row>
    <row r="153" spans="2:16" x14ac:dyDescent="0.25">
      <c r="B153" s="118" t="s">
        <v>544</v>
      </c>
      <c r="C153" s="121">
        <v>44622</v>
      </c>
      <c r="D153" s="118">
        <v>292.28849958000001</v>
      </c>
      <c r="E153" s="138">
        <v>1</v>
      </c>
      <c r="G153" s="138" t="s">
        <v>595</v>
      </c>
      <c r="H153" s="138">
        <v>2518.7600000000002</v>
      </c>
      <c r="I153" s="103"/>
      <c r="M153"/>
      <c r="O153" s="138" t="s">
        <v>595</v>
      </c>
      <c r="P153" s="138">
        <v>2778.64</v>
      </c>
    </row>
    <row r="154" spans="2:16" x14ac:dyDescent="0.25">
      <c r="B154" s="118" t="s">
        <v>545</v>
      </c>
      <c r="C154" s="121">
        <v>45062</v>
      </c>
      <c r="D154" s="118">
        <v>6509.3063371999997</v>
      </c>
      <c r="E154" s="138">
        <v>1</v>
      </c>
      <c r="G154" s="138" t="s">
        <v>596</v>
      </c>
      <c r="H154" s="138">
        <v>7599.97</v>
      </c>
      <c r="I154" s="103"/>
      <c r="M154"/>
      <c r="O154" s="138" t="s">
        <v>596</v>
      </c>
      <c r="P154" s="138">
        <v>9871.92</v>
      </c>
    </row>
    <row r="155" spans="2:16" x14ac:dyDescent="0.25">
      <c r="B155" s="118" t="s">
        <v>546</v>
      </c>
      <c r="C155" s="121">
        <v>44467</v>
      </c>
      <c r="D155" s="118">
        <v>26340.367150819999</v>
      </c>
      <c r="E155" s="138">
        <v>1</v>
      </c>
      <c r="G155" s="138" t="s">
        <v>597</v>
      </c>
      <c r="H155" s="138">
        <v>10707.38</v>
      </c>
      <c r="I155" s="103"/>
      <c r="M155"/>
      <c r="O155" s="138" t="s">
        <v>597</v>
      </c>
      <c r="P155" s="138">
        <v>11315.18</v>
      </c>
    </row>
    <row r="156" spans="2:16" x14ac:dyDescent="0.25">
      <c r="B156" s="118" t="s">
        <v>329</v>
      </c>
      <c r="C156" s="121">
        <v>41948</v>
      </c>
      <c r="D156" s="118">
        <v>15682.48</v>
      </c>
      <c r="E156" s="138">
        <v>1</v>
      </c>
      <c r="G156" s="138" t="s">
        <v>598</v>
      </c>
      <c r="H156" s="138">
        <v>122548.79</v>
      </c>
      <c r="I156" s="103"/>
      <c r="M156"/>
      <c r="O156" s="138" t="s">
        <v>598</v>
      </c>
      <c r="P156" s="138">
        <v>118063.73</v>
      </c>
    </row>
    <row r="157" spans="2:16" x14ac:dyDescent="0.25">
      <c r="B157" s="118" t="s">
        <v>506</v>
      </c>
      <c r="C157" s="121">
        <v>44567</v>
      </c>
      <c r="D157" s="118">
        <v>400.62909824000002</v>
      </c>
      <c r="E157" s="138">
        <v>1</v>
      </c>
      <c r="G157" s="138" t="s">
        <v>599</v>
      </c>
      <c r="H157" s="138">
        <v>8319.81</v>
      </c>
      <c r="I157" s="103"/>
      <c r="M157"/>
      <c r="O157" s="138" t="s">
        <v>599</v>
      </c>
      <c r="P157" s="138">
        <v>9442.4699999999993</v>
      </c>
    </row>
    <row r="158" spans="2:16" x14ac:dyDescent="0.25">
      <c r="B158" s="118" t="s">
        <v>555</v>
      </c>
      <c r="C158" s="121">
        <v>44504</v>
      </c>
      <c r="D158" s="118">
        <v>8181.92670404</v>
      </c>
      <c r="E158" s="138">
        <v>1</v>
      </c>
      <c r="G158" s="138" t="s">
        <v>600</v>
      </c>
      <c r="H158" s="138">
        <v>4119.7700000000004</v>
      </c>
      <c r="I158" s="103"/>
      <c r="M158"/>
      <c r="O158" s="138" t="s">
        <v>600</v>
      </c>
      <c r="P158" s="138">
        <v>4307.71</v>
      </c>
    </row>
    <row r="159" spans="2:16" x14ac:dyDescent="0.25">
      <c r="B159" s="118" t="s">
        <v>623</v>
      </c>
      <c r="C159" s="121">
        <v>44700</v>
      </c>
      <c r="D159" s="118">
        <v>1350</v>
      </c>
      <c r="E159" s="138">
        <v>1</v>
      </c>
      <c r="G159" s="138" t="s">
        <v>601</v>
      </c>
      <c r="H159" s="138">
        <v>19613.150000000001</v>
      </c>
      <c r="I159" s="103"/>
      <c r="M159"/>
      <c r="O159" s="138" t="s">
        <v>601</v>
      </c>
      <c r="P159" s="138">
        <v>22235.119999999999</v>
      </c>
    </row>
    <row r="160" spans="2:16" x14ac:dyDescent="0.25">
      <c r="B160" s="118" t="s">
        <v>557</v>
      </c>
      <c r="C160" s="121">
        <v>44426</v>
      </c>
      <c r="D160" s="118">
        <v>7075.9582582200001</v>
      </c>
      <c r="E160" s="138">
        <v>1</v>
      </c>
      <c r="G160" s="138" t="s">
        <v>602</v>
      </c>
      <c r="H160" s="138">
        <v>7632.92</v>
      </c>
      <c r="I160" s="103"/>
      <c r="M160"/>
      <c r="O160" s="138" t="s">
        <v>602</v>
      </c>
      <c r="P160" s="138">
        <v>9008.23</v>
      </c>
    </row>
    <row r="161" spans="2:16" x14ac:dyDescent="0.25">
      <c r="B161" s="118" t="s">
        <v>336</v>
      </c>
      <c r="C161" s="121">
        <v>42030</v>
      </c>
      <c r="D161" s="118">
        <v>36618.99</v>
      </c>
      <c r="E161" s="138">
        <v>1</v>
      </c>
      <c r="G161" s="138" t="s">
        <v>603</v>
      </c>
      <c r="H161" s="138">
        <v>7906.98</v>
      </c>
      <c r="I161" s="103"/>
      <c r="M161"/>
      <c r="O161" s="138" t="s">
        <v>603</v>
      </c>
      <c r="P161" s="138">
        <v>8416.6200000000008</v>
      </c>
    </row>
    <row r="162" spans="2:16" x14ac:dyDescent="0.25">
      <c r="B162" s="118" t="s">
        <v>563</v>
      </c>
      <c r="C162" s="121">
        <v>44581</v>
      </c>
      <c r="D162" s="118">
        <v>18.968074269999999</v>
      </c>
      <c r="E162" s="138">
        <v>1</v>
      </c>
      <c r="G162" s="138" t="s">
        <v>604</v>
      </c>
      <c r="H162" s="138">
        <v>32626.67</v>
      </c>
      <c r="I162" s="103"/>
      <c r="M162"/>
      <c r="O162" s="138" t="s">
        <v>604</v>
      </c>
      <c r="P162" s="138">
        <v>35852.559999999998</v>
      </c>
    </row>
    <row r="163" spans="2:16" x14ac:dyDescent="0.25">
      <c r="B163" s="118" t="s">
        <v>567</v>
      </c>
      <c r="C163" s="121">
        <v>44994</v>
      </c>
      <c r="D163" s="118">
        <v>226.49563323999999</v>
      </c>
      <c r="E163" s="138">
        <v>1</v>
      </c>
      <c r="G163" s="138" t="s">
        <v>605</v>
      </c>
      <c r="H163" s="138">
        <v>1471.49</v>
      </c>
      <c r="I163" s="103"/>
      <c r="M163"/>
      <c r="O163" s="138" t="s">
        <v>605</v>
      </c>
      <c r="P163" s="138">
        <v>1686.99</v>
      </c>
    </row>
    <row r="164" spans="2:16" x14ac:dyDescent="0.25">
      <c r="B164" s="118" t="s">
        <v>337</v>
      </c>
      <c r="C164" s="121">
        <v>43220</v>
      </c>
      <c r="D164" s="118">
        <v>34255.11</v>
      </c>
      <c r="E164" s="138">
        <v>1</v>
      </c>
      <c r="G164" s="138" t="s">
        <v>606</v>
      </c>
      <c r="H164" s="138">
        <v>2047.22</v>
      </c>
      <c r="I164" s="103"/>
      <c r="M164"/>
      <c r="O164" s="138" t="s">
        <v>606</v>
      </c>
      <c r="P164" s="138">
        <v>2150.88</v>
      </c>
    </row>
    <row r="165" spans="2:16" x14ac:dyDescent="0.25">
      <c r="B165" s="118" t="s">
        <v>340</v>
      </c>
      <c r="C165" s="121">
        <v>42655</v>
      </c>
      <c r="D165" s="118">
        <v>9116.6</v>
      </c>
      <c r="E165" s="138">
        <v>1</v>
      </c>
      <c r="G165" s="138" t="s">
        <v>607</v>
      </c>
      <c r="H165" s="138">
        <v>16333.33</v>
      </c>
      <c r="I165" s="103"/>
      <c r="M165"/>
      <c r="O165" s="138" t="s">
        <v>607</v>
      </c>
      <c r="P165" s="138">
        <v>16807.18</v>
      </c>
    </row>
    <row r="166" spans="2:16" x14ac:dyDescent="0.25">
      <c r="B166" s="118" t="s">
        <v>342</v>
      </c>
      <c r="C166" s="121">
        <v>42122</v>
      </c>
      <c r="D166" s="118">
        <v>15553.66</v>
      </c>
      <c r="E166" s="138">
        <v>1</v>
      </c>
      <c r="G166" s="138" t="s">
        <v>608</v>
      </c>
      <c r="H166" s="138">
        <v>9946.4599999999991</v>
      </c>
      <c r="I166" s="103"/>
      <c r="M166"/>
      <c r="O166" s="138" t="s">
        <v>608</v>
      </c>
      <c r="P166" s="138">
        <v>10194.709999999999</v>
      </c>
    </row>
    <row r="167" spans="2:16" x14ac:dyDescent="0.25">
      <c r="B167" s="118" t="s">
        <v>357</v>
      </c>
      <c r="C167" s="121">
        <v>43060</v>
      </c>
      <c r="D167" s="118">
        <v>47173.61</v>
      </c>
      <c r="E167" s="138">
        <v>1</v>
      </c>
      <c r="G167" s="138" t="s">
        <v>609</v>
      </c>
      <c r="H167" s="138">
        <v>7762.54</v>
      </c>
      <c r="I167" s="103"/>
      <c r="M167"/>
      <c r="O167" s="138" t="s">
        <v>609</v>
      </c>
      <c r="P167" s="138">
        <v>7758.4</v>
      </c>
    </row>
    <row r="168" spans="2:16" x14ac:dyDescent="0.25">
      <c r="B168" s="118" t="s">
        <v>362</v>
      </c>
      <c r="C168" s="121">
        <v>44973</v>
      </c>
      <c r="D168" s="118">
        <v>24731.87</v>
      </c>
      <c r="E168" s="138">
        <v>1</v>
      </c>
      <c r="G168" s="138" t="s">
        <v>610</v>
      </c>
      <c r="H168" s="138">
        <v>15989.86</v>
      </c>
      <c r="I168" s="103"/>
      <c r="M168"/>
      <c r="O168" s="138" t="s">
        <v>610</v>
      </c>
      <c r="P168" s="138">
        <v>15231.41</v>
      </c>
    </row>
    <row r="169" spans="2:16" x14ac:dyDescent="0.25">
      <c r="B169" s="118" t="s">
        <v>363</v>
      </c>
      <c r="C169" s="121">
        <v>43165</v>
      </c>
      <c r="D169" s="118">
        <v>15739.25</v>
      </c>
      <c r="E169" s="138">
        <v>1</v>
      </c>
      <c r="G169" s="138" t="s">
        <v>611</v>
      </c>
      <c r="H169" s="138">
        <v>8993.65</v>
      </c>
      <c r="I169" s="103"/>
      <c r="M169"/>
      <c r="O169" s="138" t="s">
        <v>611</v>
      </c>
      <c r="P169" s="138">
        <v>9161.2999999999993</v>
      </c>
    </row>
    <row r="170" spans="2:16" x14ac:dyDescent="0.25">
      <c r="B170" s="118" t="s">
        <v>584</v>
      </c>
      <c r="C170" s="121">
        <v>44287</v>
      </c>
      <c r="D170" s="118">
        <v>19454.349999999999</v>
      </c>
      <c r="E170" s="138">
        <v>1</v>
      </c>
      <c r="G170" s="138" t="s">
        <v>612</v>
      </c>
      <c r="H170" s="138">
        <v>11052.71</v>
      </c>
      <c r="I170" s="103"/>
      <c r="M170"/>
      <c r="O170" s="138" t="s">
        <v>612</v>
      </c>
      <c r="P170" s="138">
        <v>11271.88</v>
      </c>
    </row>
    <row r="171" spans="2:16" x14ac:dyDescent="0.25">
      <c r="B171" s="118" t="s">
        <v>585</v>
      </c>
      <c r="C171" s="121">
        <v>44622</v>
      </c>
      <c r="D171" s="118">
        <v>11294.65</v>
      </c>
      <c r="E171" s="138">
        <v>1</v>
      </c>
      <c r="G171" s="138" t="s">
        <v>613</v>
      </c>
      <c r="H171" s="138">
        <v>4843.8999999999996</v>
      </c>
      <c r="I171" s="103"/>
      <c r="M171"/>
      <c r="O171" s="138" t="s">
        <v>613</v>
      </c>
      <c r="P171" s="138">
        <v>4966.3599999999997</v>
      </c>
    </row>
    <row r="172" spans="2:16" x14ac:dyDescent="0.25">
      <c r="B172" s="118" t="s">
        <v>588</v>
      </c>
      <c r="C172" s="121">
        <v>44649</v>
      </c>
      <c r="D172" s="118">
        <v>14826.28</v>
      </c>
      <c r="E172" s="138">
        <v>1</v>
      </c>
      <c r="G172" s="138" t="s">
        <v>614</v>
      </c>
      <c r="H172" s="138">
        <v>48226.29</v>
      </c>
      <c r="I172" s="103"/>
      <c r="M172"/>
      <c r="O172" s="138" t="s">
        <v>614</v>
      </c>
      <c r="P172" s="138">
        <v>58340.86</v>
      </c>
    </row>
    <row r="173" spans="2:16" x14ac:dyDescent="0.25">
      <c r="B173" s="118" t="s">
        <v>590</v>
      </c>
      <c r="C173" s="121">
        <v>45054</v>
      </c>
      <c r="D173" s="118">
        <v>7469.08</v>
      </c>
      <c r="E173" s="138">
        <v>1</v>
      </c>
      <c r="G173" s="138" t="s">
        <v>615</v>
      </c>
      <c r="H173" s="138">
        <v>805.56</v>
      </c>
      <c r="I173" s="103"/>
      <c r="M173"/>
      <c r="O173" s="138" t="s">
        <v>615</v>
      </c>
      <c r="P173" s="138">
        <v>617.28</v>
      </c>
    </row>
    <row r="174" spans="2:16" x14ac:dyDescent="0.25">
      <c r="B174" s="118" t="s">
        <v>592</v>
      </c>
      <c r="C174" s="121">
        <v>44650</v>
      </c>
      <c r="D174" s="118">
        <v>12258.29</v>
      </c>
      <c r="E174" s="138">
        <v>1</v>
      </c>
      <c r="G174" s="138"/>
      <c r="H174" s="138"/>
      <c r="I174" s="103"/>
      <c r="M174"/>
      <c r="O174" s="138"/>
      <c r="P174" s="138"/>
    </row>
    <row r="175" spans="2:16" x14ac:dyDescent="0.25">
      <c r="B175" s="118" t="s">
        <v>600</v>
      </c>
      <c r="C175" s="121">
        <v>45021</v>
      </c>
      <c r="D175" s="118">
        <v>4492.5600000000004</v>
      </c>
      <c r="E175" s="138">
        <v>1</v>
      </c>
      <c r="G175" s="138"/>
      <c r="H175" s="138"/>
      <c r="I175" s="103"/>
      <c r="M175"/>
      <c r="O175" s="138"/>
      <c r="P175" s="138"/>
    </row>
    <row r="176" spans="2:16" x14ac:dyDescent="0.25">
      <c r="B176" s="118" t="s">
        <v>605</v>
      </c>
      <c r="C176" s="121">
        <v>44581</v>
      </c>
      <c r="D176" s="118">
        <v>2578.42</v>
      </c>
      <c r="E176" s="138">
        <v>1</v>
      </c>
      <c r="G176" s="138"/>
      <c r="H176" s="138"/>
      <c r="I176" s="103"/>
      <c r="M176"/>
      <c r="O176" s="138"/>
      <c r="P176" s="138"/>
    </row>
    <row r="177" spans="2:16" x14ac:dyDescent="0.25">
      <c r="B177" s="118" t="s">
        <v>608</v>
      </c>
      <c r="C177" s="121">
        <v>44985</v>
      </c>
      <c r="D177" s="118">
        <v>11382.99</v>
      </c>
      <c r="E177" s="138">
        <v>1</v>
      </c>
      <c r="G177" s="138"/>
      <c r="H177" s="138"/>
      <c r="I177" s="103"/>
      <c r="M177"/>
      <c r="O177" s="138"/>
      <c r="P177" s="138"/>
    </row>
    <row r="178" spans="2:16" x14ac:dyDescent="0.25">
      <c r="B178" s="118" t="s">
        <v>371</v>
      </c>
      <c r="C178" s="121">
        <v>37469</v>
      </c>
      <c r="D178" s="118">
        <v>394.88</v>
      </c>
      <c r="E178" s="138">
        <v>1</v>
      </c>
      <c r="G178" s="138"/>
      <c r="H178" s="138"/>
      <c r="I178" s="103"/>
      <c r="M178"/>
      <c r="O178" s="138"/>
      <c r="P178" s="138"/>
    </row>
    <row r="179" spans="2:16" x14ac:dyDescent="0.25">
      <c r="B179" s="118" t="s">
        <v>372</v>
      </c>
      <c r="C179" s="121">
        <v>38665</v>
      </c>
      <c r="D179" s="118">
        <v>225.62</v>
      </c>
      <c r="E179" s="138">
        <v>1</v>
      </c>
      <c r="G179" s="138"/>
      <c r="H179" s="138"/>
      <c r="I179" s="103"/>
      <c r="M179"/>
      <c r="O179" s="138"/>
      <c r="P179" s="138"/>
    </row>
    <row r="180" spans="2:16" x14ac:dyDescent="0.25">
      <c r="B180" s="118" t="s">
        <v>374</v>
      </c>
      <c r="C180" s="121">
        <v>38624</v>
      </c>
      <c r="D180" s="118">
        <v>173.45</v>
      </c>
      <c r="E180" s="138">
        <v>1</v>
      </c>
      <c r="G180" s="138"/>
      <c r="H180" s="138"/>
      <c r="I180" s="103"/>
      <c r="M180"/>
      <c r="O180" s="138"/>
      <c r="P180" s="138"/>
    </row>
    <row r="181" spans="2:16" x14ac:dyDescent="0.25">
      <c r="B181" s="118" t="s">
        <v>404</v>
      </c>
      <c r="C181" s="121">
        <v>41277</v>
      </c>
      <c r="D181" s="118">
        <v>2807.39</v>
      </c>
      <c r="E181" s="138">
        <v>1</v>
      </c>
      <c r="G181" s="138"/>
      <c r="H181" s="138"/>
      <c r="I181" s="103"/>
      <c r="M181"/>
      <c r="O181" s="138"/>
      <c r="P181" s="138"/>
    </row>
    <row r="182" spans="2:16" x14ac:dyDescent="0.25">
      <c r="B182" s="118" t="s">
        <v>408</v>
      </c>
      <c r="C182" s="121">
        <v>42110</v>
      </c>
      <c r="D182" s="118">
        <v>522.89537319999999</v>
      </c>
      <c r="E182" s="138">
        <v>1</v>
      </c>
      <c r="G182" s="138"/>
      <c r="H182" s="138"/>
      <c r="I182" s="103"/>
      <c r="M182"/>
      <c r="O182" s="138"/>
      <c r="P182" s="138"/>
    </row>
    <row r="183" spans="2:16" x14ac:dyDescent="0.25">
      <c r="B183" s="118" t="s">
        <v>206</v>
      </c>
      <c r="C183" s="121">
        <v>38713</v>
      </c>
      <c r="D183" s="118">
        <v>17257.37</v>
      </c>
      <c r="E183" s="138">
        <v>1</v>
      </c>
      <c r="G183" s="138"/>
      <c r="H183" s="138"/>
      <c r="I183" s="103"/>
      <c r="M183"/>
      <c r="O183" s="138"/>
      <c r="P183" s="138"/>
    </row>
    <row r="184" spans="2:16" x14ac:dyDescent="0.25">
      <c r="B184" s="118" t="s">
        <v>212</v>
      </c>
      <c r="C184" s="121">
        <v>38715</v>
      </c>
      <c r="D184" s="118">
        <v>34075.21</v>
      </c>
      <c r="E184" s="138">
        <v>1</v>
      </c>
      <c r="G184" s="138"/>
      <c r="H184" s="138"/>
      <c r="I184" s="103"/>
      <c r="M184"/>
      <c r="O184" s="138"/>
      <c r="P184" s="138"/>
    </row>
    <row r="185" spans="2:16" x14ac:dyDescent="0.25">
      <c r="B185" s="118" t="s">
        <v>218</v>
      </c>
      <c r="C185" s="121">
        <v>38663</v>
      </c>
      <c r="D185" s="118">
        <v>14154.09</v>
      </c>
      <c r="E185" s="138">
        <v>1</v>
      </c>
      <c r="G185" s="138"/>
      <c r="H185" s="138"/>
      <c r="I185" s="103"/>
      <c r="M185"/>
      <c r="O185" s="138"/>
      <c r="P185" s="138"/>
    </row>
    <row r="186" spans="2:16" x14ac:dyDescent="0.25">
      <c r="B186" s="118" t="s">
        <v>225</v>
      </c>
      <c r="C186" s="121">
        <v>38716</v>
      </c>
      <c r="D186" s="118">
        <v>2895.12</v>
      </c>
      <c r="E186" s="138">
        <v>1</v>
      </c>
      <c r="G186" s="138"/>
      <c r="H186" s="138"/>
      <c r="I186" s="103"/>
      <c r="M186"/>
      <c r="O186" s="138"/>
      <c r="P186" s="138"/>
    </row>
    <row r="187" spans="2:16" x14ac:dyDescent="0.25">
      <c r="B187" s="118" t="s">
        <v>229</v>
      </c>
      <c r="C187" s="121">
        <v>38673</v>
      </c>
      <c r="D187" s="118">
        <v>110.01</v>
      </c>
      <c r="E187" s="138">
        <v>1</v>
      </c>
      <c r="G187" s="138"/>
      <c r="H187" s="138"/>
      <c r="I187" s="103"/>
      <c r="M187"/>
      <c r="O187" s="138"/>
      <c r="P187" s="138"/>
    </row>
    <row r="188" spans="2:16" x14ac:dyDescent="0.25">
      <c r="B188" s="118" t="s">
        <v>240</v>
      </c>
      <c r="C188" s="121">
        <v>38709</v>
      </c>
      <c r="D188" s="118">
        <v>9758.19</v>
      </c>
      <c r="E188" s="138">
        <v>1</v>
      </c>
      <c r="G188" s="138"/>
      <c r="H188" s="138"/>
      <c r="I188" s="103"/>
      <c r="M188"/>
      <c r="O188" s="138"/>
      <c r="P188" s="138"/>
    </row>
    <row r="189" spans="2:16" x14ac:dyDescent="0.25">
      <c r="B189" s="118" t="s">
        <v>241</v>
      </c>
      <c r="C189" s="121">
        <v>38580</v>
      </c>
      <c r="D189" s="118">
        <v>673.25</v>
      </c>
      <c r="E189" s="138">
        <v>1</v>
      </c>
      <c r="G189" s="138"/>
      <c r="H189" s="138"/>
      <c r="I189" s="103"/>
      <c r="M189"/>
      <c r="O189" s="138"/>
      <c r="P189" s="138"/>
    </row>
    <row r="190" spans="2:16" x14ac:dyDescent="0.25">
      <c r="B190" s="118" t="s">
        <v>243</v>
      </c>
      <c r="C190" s="121">
        <v>42122</v>
      </c>
      <c r="D190" s="118">
        <v>9390.5427286199993</v>
      </c>
      <c r="E190" s="138">
        <v>1</v>
      </c>
      <c r="G190" s="138"/>
      <c r="H190" s="138"/>
      <c r="I190" s="103"/>
      <c r="M190"/>
      <c r="O190" s="138"/>
      <c r="P190" s="138"/>
    </row>
    <row r="191" spans="2:16" x14ac:dyDescent="0.25">
      <c r="B191" s="118" t="s">
        <v>244</v>
      </c>
      <c r="C191" s="121">
        <v>44623</v>
      </c>
      <c r="D191" s="118">
        <v>20234.020223359999</v>
      </c>
      <c r="E191" s="138">
        <v>1</v>
      </c>
      <c r="G191" s="138"/>
      <c r="H191" s="138"/>
      <c r="I191" s="103"/>
      <c r="M191"/>
      <c r="O191" s="138"/>
      <c r="P191" s="138"/>
    </row>
    <row r="192" spans="2:16" x14ac:dyDescent="0.25">
      <c r="B192" s="118" t="s">
        <v>88</v>
      </c>
      <c r="C192" s="121">
        <v>44622</v>
      </c>
      <c r="D192" s="118">
        <v>5682.5741831900004</v>
      </c>
      <c r="E192" s="138">
        <v>1</v>
      </c>
      <c r="G192" s="138"/>
      <c r="H192" s="138"/>
      <c r="I192" s="103"/>
      <c r="M192"/>
      <c r="O192" s="138"/>
      <c r="P192" s="138"/>
    </row>
    <row r="193" spans="2:16" x14ac:dyDescent="0.25">
      <c r="B193" s="118" t="s">
        <v>249</v>
      </c>
      <c r="C193" s="121">
        <v>39629</v>
      </c>
      <c r="D193" s="118">
        <v>51541.23</v>
      </c>
      <c r="E193" s="138">
        <v>1</v>
      </c>
      <c r="G193" s="138"/>
      <c r="H193" s="138"/>
      <c r="I193" s="103"/>
      <c r="M193"/>
      <c r="O193" s="138"/>
      <c r="P193" s="138"/>
    </row>
    <row r="194" spans="2:16" x14ac:dyDescent="0.25">
      <c r="B194" s="118" t="s">
        <v>100</v>
      </c>
      <c r="C194" s="121">
        <v>44252</v>
      </c>
      <c r="D194" s="118">
        <v>17898.365507359998</v>
      </c>
      <c r="E194" s="138">
        <v>1</v>
      </c>
      <c r="G194" s="138"/>
      <c r="H194" s="138"/>
      <c r="I194" s="103"/>
      <c r="M194"/>
      <c r="O194" s="138"/>
      <c r="P194" s="138"/>
    </row>
    <row r="195" spans="2:16" x14ac:dyDescent="0.25">
      <c r="B195" s="118" t="s">
        <v>55</v>
      </c>
      <c r="C195" s="121">
        <v>44953</v>
      </c>
      <c r="D195" s="118">
        <v>74766.053588709998</v>
      </c>
      <c r="E195" s="138">
        <v>1</v>
      </c>
      <c r="G195" s="138"/>
      <c r="H195" s="138"/>
      <c r="I195" s="103"/>
      <c r="M195"/>
      <c r="O195" s="138"/>
      <c r="P195" s="138"/>
    </row>
    <row r="196" spans="2:16" x14ac:dyDescent="0.25">
      <c r="B196" s="118" t="s">
        <v>624</v>
      </c>
      <c r="C196" s="121">
        <v>42143</v>
      </c>
      <c r="D196" s="118">
        <v>1310.1099999999999</v>
      </c>
      <c r="E196" s="138">
        <v>1</v>
      </c>
      <c r="G196" s="138"/>
      <c r="H196" s="138"/>
      <c r="I196" s="103"/>
      <c r="M196"/>
      <c r="O196" s="138"/>
      <c r="P196" s="138"/>
    </row>
    <row r="197" spans="2:16" x14ac:dyDescent="0.25">
      <c r="B197" s="118" t="s">
        <v>625</v>
      </c>
      <c r="C197" s="121">
        <v>42312</v>
      </c>
      <c r="D197" s="118">
        <v>1209.71</v>
      </c>
      <c r="E197" s="138">
        <v>1</v>
      </c>
      <c r="M197"/>
    </row>
    <row r="198" spans="2:16" x14ac:dyDescent="0.25">
      <c r="B198" s="118" t="s">
        <v>626</v>
      </c>
      <c r="C198" s="121">
        <v>42594</v>
      </c>
      <c r="D198" s="118">
        <v>1327.18</v>
      </c>
      <c r="E198" s="138">
        <v>1</v>
      </c>
      <c r="M198"/>
    </row>
    <row r="199" spans="2:16" x14ac:dyDescent="0.25">
      <c r="B199" s="118" t="s">
        <v>103</v>
      </c>
      <c r="C199" s="121">
        <v>38723</v>
      </c>
      <c r="D199" s="118">
        <v>641.64</v>
      </c>
      <c r="E199" s="138">
        <v>1</v>
      </c>
      <c r="M199"/>
    </row>
    <row r="200" spans="2:16" x14ac:dyDescent="0.25">
      <c r="B200" s="118" t="s">
        <v>259</v>
      </c>
      <c r="C200" s="121">
        <v>43348</v>
      </c>
      <c r="D200" s="118">
        <v>302.76282674999999</v>
      </c>
      <c r="E200" s="138">
        <v>1</v>
      </c>
      <c r="M200"/>
    </row>
    <row r="201" spans="2:16" x14ac:dyDescent="0.25">
      <c r="B201" s="118" t="s">
        <v>263</v>
      </c>
      <c r="C201" s="121">
        <v>40926</v>
      </c>
      <c r="D201" s="118">
        <v>1131.78</v>
      </c>
      <c r="E201" s="138">
        <v>1</v>
      </c>
      <c r="M201"/>
    </row>
    <row r="202" spans="2:16" x14ac:dyDescent="0.25">
      <c r="B202" s="118" t="s">
        <v>90</v>
      </c>
      <c r="C202" s="121">
        <v>43098</v>
      </c>
      <c r="D202" s="118">
        <v>694.66658584000004</v>
      </c>
      <c r="E202" s="138">
        <v>1</v>
      </c>
      <c r="M202"/>
    </row>
    <row r="203" spans="2:16" x14ac:dyDescent="0.25">
      <c r="B203" s="118" t="s">
        <v>267</v>
      </c>
      <c r="C203" s="121">
        <v>44622</v>
      </c>
      <c r="D203" s="118">
        <v>361.91880978</v>
      </c>
      <c r="E203" s="138">
        <v>1</v>
      </c>
      <c r="M203"/>
    </row>
    <row r="204" spans="2:16" x14ac:dyDescent="0.25">
      <c r="B204" s="118" t="s">
        <v>268</v>
      </c>
      <c r="C204" s="121">
        <v>43125</v>
      </c>
      <c r="D204" s="118">
        <v>11610.59631465</v>
      </c>
      <c r="E204" s="138">
        <v>1</v>
      </c>
      <c r="M204"/>
    </row>
    <row r="205" spans="2:16" x14ac:dyDescent="0.25">
      <c r="B205" s="118" t="s">
        <v>273</v>
      </c>
      <c r="C205" s="121">
        <v>43131</v>
      </c>
      <c r="D205" s="118">
        <v>227.82227137999999</v>
      </c>
      <c r="E205" s="138">
        <v>1</v>
      </c>
      <c r="M205"/>
    </row>
    <row r="206" spans="2:16" x14ac:dyDescent="0.25">
      <c r="B206" s="118" t="s">
        <v>274</v>
      </c>
      <c r="C206" s="121">
        <v>42193</v>
      </c>
      <c r="D206" s="118">
        <v>3470.8482101700001</v>
      </c>
      <c r="E206" s="138">
        <v>1</v>
      </c>
      <c r="M206"/>
    </row>
    <row r="207" spans="2:16" x14ac:dyDescent="0.25">
      <c r="B207" s="118" t="s">
        <v>276</v>
      </c>
      <c r="C207" s="121">
        <v>45056</v>
      </c>
      <c r="D207" s="118">
        <v>22989.789400000001</v>
      </c>
      <c r="E207" s="138">
        <v>1</v>
      </c>
      <c r="M207"/>
    </row>
    <row r="208" spans="2:16" x14ac:dyDescent="0.25">
      <c r="B208" s="118" t="s">
        <v>57</v>
      </c>
      <c r="C208" s="121">
        <v>44953</v>
      </c>
      <c r="D208" s="118">
        <v>38254.114314270002</v>
      </c>
      <c r="E208" s="138">
        <v>1</v>
      </c>
      <c r="M208"/>
    </row>
    <row r="209" spans="2:5" x14ac:dyDescent="0.25">
      <c r="B209" s="118" t="s">
        <v>282</v>
      </c>
      <c r="C209" s="121">
        <v>42460</v>
      </c>
      <c r="D209" s="118">
        <v>664.66121383999996</v>
      </c>
      <c r="E209" s="138">
        <v>1</v>
      </c>
    </row>
    <row r="210" spans="2:5" x14ac:dyDescent="0.25">
      <c r="B210" s="118" t="s">
        <v>59</v>
      </c>
      <c r="C210" s="121">
        <v>44953</v>
      </c>
      <c r="D210" s="118">
        <v>13930.171446300001</v>
      </c>
      <c r="E210" s="138">
        <v>1</v>
      </c>
    </row>
    <row r="211" spans="2:5" x14ac:dyDescent="0.25">
      <c r="B211" s="118" t="s">
        <v>287</v>
      </c>
      <c r="C211" s="121">
        <v>39381</v>
      </c>
      <c r="D211" s="118">
        <v>30836.11</v>
      </c>
      <c r="E211" s="138">
        <v>1</v>
      </c>
    </row>
    <row r="212" spans="2:5" x14ac:dyDescent="0.25">
      <c r="B212" s="118" t="s">
        <v>167</v>
      </c>
      <c r="C212" s="121">
        <v>42303</v>
      </c>
      <c r="D212" s="118">
        <v>1035.8389392900001</v>
      </c>
      <c r="E212" s="138">
        <v>1</v>
      </c>
    </row>
    <row r="213" spans="2:5" x14ac:dyDescent="0.25">
      <c r="B213" s="118" t="s">
        <v>304</v>
      </c>
      <c r="C213" s="121">
        <v>42222</v>
      </c>
      <c r="D213" s="118">
        <v>1524.0086971600001</v>
      </c>
      <c r="E213" s="138">
        <v>1</v>
      </c>
    </row>
    <row r="214" spans="2:5" x14ac:dyDescent="0.25">
      <c r="B214" s="118" t="s">
        <v>305</v>
      </c>
      <c r="C214" s="121">
        <v>41492</v>
      </c>
      <c r="D214" s="118">
        <v>4293.55</v>
      </c>
      <c r="E214" s="138">
        <v>1</v>
      </c>
    </row>
    <row r="215" spans="2:5" x14ac:dyDescent="0.25">
      <c r="B215" s="118" t="s">
        <v>306</v>
      </c>
      <c r="C215" s="121">
        <v>43172</v>
      </c>
      <c r="D215" s="118">
        <v>82.544370499999999</v>
      </c>
      <c r="E215" s="138">
        <v>1</v>
      </c>
    </row>
    <row r="216" spans="2:5" x14ac:dyDescent="0.25">
      <c r="B216" s="118" t="s">
        <v>309</v>
      </c>
      <c r="C216" s="121">
        <v>44526</v>
      </c>
      <c r="D216" s="118">
        <v>101.04015010000001</v>
      </c>
      <c r="E216" s="138">
        <v>1</v>
      </c>
    </row>
    <row r="217" spans="2:5" x14ac:dyDescent="0.25">
      <c r="B217" s="118" t="s">
        <v>540</v>
      </c>
      <c r="C217" s="121">
        <v>44567</v>
      </c>
      <c r="D217" s="118">
        <v>1217.0030418700001</v>
      </c>
      <c r="E217" s="138">
        <v>1</v>
      </c>
    </row>
    <row r="218" spans="2:5" x14ac:dyDescent="0.25">
      <c r="B218" s="118" t="s">
        <v>510</v>
      </c>
      <c r="C218" s="121">
        <v>44603</v>
      </c>
      <c r="D218" s="118">
        <v>40363.684077309998</v>
      </c>
      <c r="E218" s="138">
        <v>1</v>
      </c>
    </row>
    <row r="219" spans="2:5" x14ac:dyDescent="0.25">
      <c r="B219" s="118" t="s">
        <v>547</v>
      </c>
      <c r="C219" s="121">
        <v>44649</v>
      </c>
      <c r="D219" s="118">
        <v>11039.616041069999</v>
      </c>
      <c r="E219" s="138">
        <v>1</v>
      </c>
    </row>
    <row r="220" spans="2:5" x14ac:dyDescent="0.25">
      <c r="B220" s="118" t="s">
        <v>548</v>
      </c>
      <c r="C220" s="121">
        <v>44679</v>
      </c>
      <c r="D220" s="118">
        <v>4797.7528934700003</v>
      </c>
      <c r="E220" s="138">
        <v>1</v>
      </c>
    </row>
    <row r="221" spans="2:5" x14ac:dyDescent="0.25">
      <c r="B221" s="118" t="s">
        <v>551</v>
      </c>
      <c r="C221" s="121">
        <v>44650</v>
      </c>
      <c r="D221" s="118">
        <v>39134.637828899999</v>
      </c>
      <c r="E221" s="138">
        <v>1</v>
      </c>
    </row>
    <row r="222" spans="2:5" x14ac:dyDescent="0.25">
      <c r="B222" s="118" t="s">
        <v>331</v>
      </c>
      <c r="C222" s="121">
        <v>43125</v>
      </c>
      <c r="D222" s="118">
        <v>16687.3</v>
      </c>
      <c r="E222" s="138">
        <v>1</v>
      </c>
    </row>
    <row r="223" spans="2:5" x14ac:dyDescent="0.25">
      <c r="B223" s="118" t="s">
        <v>332</v>
      </c>
      <c r="C223" s="121">
        <v>42460</v>
      </c>
      <c r="D223" s="118">
        <v>25683.33</v>
      </c>
      <c r="E223" s="138">
        <v>1</v>
      </c>
    </row>
    <row r="224" spans="2:5" x14ac:dyDescent="0.25">
      <c r="B224" s="118" t="s">
        <v>335</v>
      </c>
      <c r="C224" s="121">
        <v>42117</v>
      </c>
      <c r="D224" s="118">
        <v>27409.74</v>
      </c>
      <c r="E224" s="138">
        <v>1</v>
      </c>
    </row>
    <row r="225" spans="2:5" x14ac:dyDescent="0.25">
      <c r="B225" s="118" t="s">
        <v>627</v>
      </c>
      <c r="C225" s="121">
        <v>44244</v>
      </c>
      <c r="D225" s="118">
        <v>55695.23</v>
      </c>
      <c r="E225" s="138">
        <v>1</v>
      </c>
    </row>
    <row r="226" spans="2:5" x14ac:dyDescent="0.25">
      <c r="B226" s="118" t="s">
        <v>338</v>
      </c>
      <c r="C226" s="121">
        <v>43166</v>
      </c>
      <c r="D226" s="118">
        <v>15441.01</v>
      </c>
      <c r="E226" s="138">
        <v>1</v>
      </c>
    </row>
    <row r="227" spans="2:5" x14ac:dyDescent="0.25">
      <c r="B227" s="118" t="s">
        <v>568</v>
      </c>
      <c r="C227" s="121">
        <v>44693</v>
      </c>
      <c r="D227" s="118">
        <v>105607.12313111</v>
      </c>
      <c r="E227" s="138">
        <v>1</v>
      </c>
    </row>
    <row r="228" spans="2:5" x14ac:dyDescent="0.25">
      <c r="B228" s="118" t="s">
        <v>569</v>
      </c>
      <c r="C228" s="121">
        <v>44670</v>
      </c>
      <c r="D228" s="118">
        <v>39042.487518540001</v>
      </c>
      <c r="E228" s="138">
        <v>1</v>
      </c>
    </row>
    <row r="229" spans="2:5" x14ac:dyDescent="0.25">
      <c r="B229" s="118" t="s">
        <v>347</v>
      </c>
      <c r="C229" s="121">
        <v>42303</v>
      </c>
      <c r="D229" s="118">
        <v>7915.02</v>
      </c>
      <c r="E229" s="138">
        <v>1</v>
      </c>
    </row>
    <row r="230" spans="2:5" x14ac:dyDescent="0.25">
      <c r="B230" s="118" t="s">
        <v>351</v>
      </c>
      <c r="C230" s="121">
        <v>41947</v>
      </c>
      <c r="D230" s="118">
        <v>7127.6</v>
      </c>
      <c r="E230" s="138">
        <v>1</v>
      </c>
    </row>
    <row r="231" spans="2:5" x14ac:dyDescent="0.25">
      <c r="B231" s="118" t="s">
        <v>352</v>
      </c>
      <c r="C231" s="121">
        <v>44221</v>
      </c>
      <c r="D231" s="118">
        <v>59872.37</v>
      </c>
      <c r="E231" s="138">
        <v>1</v>
      </c>
    </row>
    <row r="232" spans="2:5" x14ac:dyDescent="0.25">
      <c r="B232" s="118" t="s">
        <v>354</v>
      </c>
      <c r="C232" s="121">
        <v>43126</v>
      </c>
      <c r="D232" s="118">
        <v>12900.1</v>
      </c>
      <c r="E232" s="138">
        <v>1</v>
      </c>
    </row>
    <row r="233" spans="2:5" x14ac:dyDescent="0.25">
      <c r="B233" s="118" t="s">
        <v>355</v>
      </c>
      <c r="C233" s="121">
        <v>42520</v>
      </c>
      <c r="D233" s="118">
        <v>26408.99</v>
      </c>
      <c r="E233" s="138">
        <v>1</v>
      </c>
    </row>
    <row r="234" spans="2:5" x14ac:dyDescent="0.25">
      <c r="B234" s="118" t="s">
        <v>359</v>
      </c>
      <c r="C234" s="121">
        <v>43125</v>
      </c>
      <c r="D234" s="118">
        <v>11736.27</v>
      </c>
      <c r="E234" s="138">
        <v>1</v>
      </c>
    </row>
    <row r="235" spans="2:5" x14ac:dyDescent="0.25">
      <c r="B235" s="118" t="s">
        <v>366</v>
      </c>
      <c r="C235" s="121">
        <v>44973</v>
      </c>
      <c r="D235" s="118">
        <v>21916.89</v>
      </c>
      <c r="E235" s="138">
        <v>1</v>
      </c>
    </row>
    <row r="236" spans="2:5" x14ac:dyDescent="0.25">
      <c r="B236" s="118" t="s">
        <v>574</v>
      </c>
      <c r="C236" s="121">
        <v>44287</v>
      </c>
      <c r="D236" s="118">
        <v>18092.11</v>
      </c>
      <c r="E236" s="138">
        <v>1</v>
      </c>
    </row>
    <row r="237" spans="2:5" x14ac:dyDescent="0.25">
      <c r="B237" s="118" t="s">
        <v>575</v>
      </c>
      <c r="C237" s="121">
        <v>44622</v>
      </c>
      <c r="D237" s="118">
        <v>10221.16</v>
      </c>
      <c r="E237" s="138">
        <v>1</v>
      </c>
    </row>
    <row r="238" spans="2:5" x14ac:dyDescent="0.25">
      <c r="B238" s="118" t="s">
        <v>582</v>
      </c>
      <c r="C238" s="121">
        <v>44622</v>
      </c>
      <c r="D238" s="118">
        <v>12366.71</v>
      </c>
      <c r="E238" s="138">
        <v>1</v>
      </c>
    </row>
    <row r="239" spans="2:5" x14ac:dyDescent="0.25">
      <c r="B239" s="118" t="s">
        <v>589</v>
      </c>
      <c r="C239" s="121">
        <v>44679</v>
      </c>
      <c r="D239" s="118">
        <v>10707.82</v>
      </c>
      <c r="E239" s="138">
        <v>1</v>
      </c>
    </row>
    <row r="240" spans="2:5" x14ac:dyDescent="0.25">
      <c r="B240" s="118" t="s">
        <v>597</v>
      </c>
      <c r="C240" s="121">
        <v>44504</v>
      </c>
      <c r="D240" s="118">
        <v>13987.83</v>
      </c>
      <c r="E240" s="138">
        <v>1</v>
      </c>
    </row>
    <row r="241" spans="2:5" x14ac:dyDescent="0.25">
      <c r="B241" s="118" t="s">
        <v>599</v>
      </c>
      <c r="C241" s="121">
        <v>44426</v>
      </c>
      <c r="D241" s="118">
        <v>12097.07</v>
      </c>
      <c r="E241" s="138">
        <v>1</v>
      </c>
    </row>
    <row r="242" spans="2:5" x14ac:dyDescent="0.25">
      <c r="B242" s="118" t="s">
        <v>609</v>
      </c>
      <c r="C242" s="121">
        <v>44994</v>
      </c>
      <c r="D242" s="118">
        <v>8159.23</v>
      </c>
      <c r="E242" s="138">
        <v>1</v>
      </c>
    </row>
    <row r="243" spans="2:5" x14ac:dyDescent="0.25">
      <c r="B243" s="118" t="s">
        <v>379</v>
      </c>
      <c r="C243" s="121">
        <v>38715</v>
      </c>
      <c r="D243" s="118">
        <v>508.88</v>
      </c>
      <c r="E243" s="138">
        <v>1</v>
      </c>
    </row>
    <row r="244" spans="2:5" x14ac:dyDescent="0.25">
      <c r="B244" s="118" t="s">
        <v>382</v>
      </c>
      <c r="C244" s="121">
        <v>38716</v>
      </c>
      <c r="D244" s="118">
        <v>250.34</v>
      </c>
      <c r="E244" s="138">
        <v>1</v>
      </c>
    </row>
    <row r="245" spans="2:5" x14ac:dyDescent="0.25">
      <c r="B245" s="118" t="s">
        <v>383</v>
      </c>
      <c r="C245" s="121">
        <v>38716</v>
      </c>
      <c r="D245" s="118">
        <v>250.34</v>
      </c>
      <c r="E245" s="138">
        <v>1</v>
      </c>
    </row>
    <row r="246" spans="2:5" x14ac:dyDescent="0.25">
      <c r="B246" s="118" t="s">
        <v>385</v>
      </c>
      <c r="C246" s="121">
        <v>38713</v>
      </c>
      <c r="D246" s="118">
        <v>232.72</v>
      </c>
      <c r="E246" s="138">
        <v>1</v>
      </c>
    </row>
    <row r="247" spans="2:5" x14ac:dyDescent="0.25">
      <c r="B247" s="118" t="s">
        <v>393</v>
      </c>
      <c r="C247" s="121">
        <v>39329</v>
      </c>
      <c r="D247" s="118">
        <v>321.83999999999997</v>
      </c>
      <c r="E247" s="138">
        <v>1</v>
      </c>
    </row>
    <row r="248" spans="2:5" x14ac:dyDescent="0.25">
      <c r="B248" s="118" t="s">
        <v>396</v>
      </c>
      <c r="C248" s="121">
        <v>39394</v>
      </c>
      <c r="D248" s="118">
        <v>363.69</v>
      </c>
      <c r="E248" s="138">
        <v>1</v>
      </c>
    </row>
    <row r="249" spans="2:5" x14ac:dyDescent="0.25">
      <c r="B249" s="118" t="s">
        <v>399</v>
      </c>
      <c r="C249" s="121">
        <v>42227</v>
      </c>
      <c r="D249" s="118">
        <v>4757.8587041199999</v>
      </c>
      <c r="E249" s="138">
        <v>1</v>
      </c>
    </row>
    <row r="250" spans="2:5" x14ac:dyDescent="0.25">
      <c r="B250" s="118" t="s">
        <v>405</v>
      </c>
      <c r="C250" s="121">
        <v>41283</v>
      </c>
      <c r="D250" s="118">
        <v>2316.58</v>
      </c>
      <c r="E250" s="138">
        <v>1</v>
      </c>
    </row>
    <row r="251" spans="2:5" x14ac:dyDescent="0.25">
      <c r="B251" s="118" t="s">
        <v>407</v>
      </c>
      <c r="C251" s="121">
        <v>41281</v>
      </c>
      <c r="D251" s="118">
        <v>3365.22</v>
      </c>
      <c r="E251" s="138">
        <v>1</v>
      </c>
    </row>
    <row r="252" spans="2:5" x14ac:dyDescent="0.25">
      <c r="B252" s="118" t="s">
        <v>220</v>
      </c>
      <c r="C252" s="121">
        <v>38715</v>
      </c>
      <c r="D252" s="118">
        <v>25723.24</v>
      </c>
      <c r="E252" s="138">
        <v>1</v>
      </c>
    </row>
    <row r="253" spans="2:5" x14ac:dyDescent="0.25">
      <c r="B253" s="118" t="s">
        <v>224</v>
      </c>
      <c r="C253" s="121">
        <v>38715</v>
      </c>
      <c r="D253" s="118">
        <v>24993.42</v>
      </c>
      <c r="E253" s="138">
        <v>1</v>
      </c>
    </row>
    <row r="254" spans="2:5" x14ac:dyDescent="0.25">
      <c r="B254" s="118" t="s">
        <v>232</v>
      </c>
      <c r="C254" s="121">
        <v>38708</v>
      </c>
      <c r="D254" s="118">
        <v>1357.01</v>
      </c>
      <c r="E254" s="138">
        <v>1</v>
      </c>
    </row>
    <row r="255" spans="2:5" x14ac:dyDescent="0.25">
      <c r="B255" s="118" t="s">
        <v>233</v>
      </c>
      <c r="C255" s="121">
        <v>38713</v>
      </c>
      <c r="D255" s="118">
        <v>17869.22</v>
      </c>
      <c r="E255" s="138">
        <v>1</v>
      </c>
    </row>
    <row r="256" spans="2:5" x14ac:dyDescent="0.25">
      <c r="B256" s="118" t="s">
        <v>238</v>
      </c>
      <c r="C256" s="121">
        <v>38713</v>
      </c>
      <c r="D256" s="118">
        <v>590.19000000000005</v>
      </c>
      <c r="E256" s="138">
        <v>1</v>
      </c>
    </row>
    <row r="257" spans="2:5" x14ac:dyDescent="0.25">
      <c r="B257" s="118" t="s">
        <v>242</v>
      </c>
      <c r="C257" s="121">
        <v>38709</v>
      </c>
      <c r="D257" s="118">
        <v>196.52</v>
      </c>
      <c r="E257" s="138">
        <v>1</v>
      </c>
    </row>
    <row r="258" spans="2:5" x14ac:dyDescent="0.25">
      <c r="B258" s="118" t="s">
        <v>252</v>
      </c>
      <c r="C258" s="121">
        <v>44266</v>
      </c>
      <c r="D258" s="118">
        <v>87682.746332709998</v>
      </c>
      <c r="E258" s="138">
        <v>1</v>
      </c>
    </row>
    <row r="259" spans="2:5" x14ac:dyDescent="0.25">
      <c r="B259" s="118" t="s">
        <v>628</v>
      </c>
      <c r="C259" s="121">
        <v>42312</v>
      </c>
      <c r="D259" s="118">
        <v>1315.4607390000001</v>
      </c>
      <c r="E259" s="138">
        <v>1</v>
      </c>
    </row>
    <row r="260" spans="2:5" x14ac:dyDescent="0.25">
      <c r="B260" s="118" t="s">
        <v>255</v>
      </c>
      <c r="C260" s="121">
        <v>44650</v>
      </c>
      <c r="D260" s="118">
        <v>5097.0536857899997</v>
      </c>
      <c r="E260" s="138">
        <v>1</v>
      </c>
    </row>
    <row r="261" spans="2:5" x14ac:dyDescent="0.25">
      <c r="B261" s="118" t="s">
        <v>105</v>
      </c>
      <c r="C261" s="121">
        <v>39400</v>
      </c>
      <c r="D261" s="118">
        <v>5041.9399999999996</v>
      </c>
      <c r="E261" s="138">
        <v>1</v>
      </c>
    </row>
    <row r="262" spans="2:5" x14ac:dyDescent="0.25">
      <c r="B262" s="118" t="s">
        <v>256</v>
      </c>
      <c r="C262" s="121">
        <v>39400</v>
      </c>
      <c r="D262" s="118">
        <v>2186.16</v>
      </c>
      <c r="E262" s="138">
        <v>1</v>
      </c>
    </row>
    <row r="263" spans="2:5" x14ac:dyDescent="0.25">
      <c r="B263" s="118" t="s">
        <v>257</v>
      </c>
      <c r="C263" s="121">
        <v>39381</v>
      </c>
      <c r="D263" s="118">
        <v>90476.79</v>
      </c>
      <c r="E263" s="138">
        <v>1</v>
      </c>
    </row>
    <row r="264" spans="2:5" x14ac:dyDescent="0.25">
      <c r="B264" s="118" t="s">
        <v>260</v>
      </c>
      <c r="C264" s="121">
        <v>43348</v>
      </c>
      <c r="D264" s="118">
        <v>234.75259614999999</v>
      </c>
      <c r="E264" s="138">
        <v>1</v>
      </c>
    </row>
    <row r="265" spans="2:5" x14ac:dyDescent="0.25">
      <c r="B265" s="118" t="s">
        <v>262</v>
      </c>
      <c r="C265" s="121">
        <v>39381</v>
      </c>
      <c r="D265" s="118">
        <v>31030.1</v>
      </c>
      <c r="E265" s="138">
        <v>1</v>
      </c>
    </row>
    <row r="266" spans="2:5" x14ac:dyDescent="0.25">
      <c r="B266" s="118" t="s">
        <v>266</v>
      </c>
      <c r="C266" s="121">
        <v>45063</v>
      </c>
      <c r="D266" s="118">
        <v>115614.95622661999</v>
      </c>
      <c r="E266" s="138">
        <v>1</v>
      </c>
    </row>
    <row r="267" spans="2:5" x14ac:dyDescent="0.25">
      <c r="B267" s="118" t="s">
        <v>271</v>
      </c>
      <c r="C267" s="121">
        <v>39226</v>
      </c>
      <c r="D267" s="118">
        <v>30904.43</v>
      </c>
      <c r="E267" s="138">
        <v>1</v>
      </c>
    </row>
    <row r="268" spans="2:5" x14ac:dyDescent="0.25">
      <c r="B268" s="118" t="s">
        <v>277</v>
      </c>
      <c r="C268" s="121">
        <v>44960</v>
      </c>
      <c r="D268" s="118">
        <v>32866.090126969997</v>
      </c>
      <c r="E268" s="138">
        <v>1</v>
      </c>
    </row>
    <row r="269" spans="2:5" x14ac:dyDescent="0.25">
      <c r="B269" s="118" t="s">
        <v>534</v>
      </c>
      <c r="C269" s="121">
        <v>45063</v>
      </c>
      <c r="D269" s="118">
        <v>104181.15298288</v>
      </c>
      <c r="E269" s="138">
        <v>1</v>
      </c>
    </row>
    <row r="270" spans="2:5" x14ac:dyDescent="0.25">
      <c r="B270" s="118" t="s">
        <v>98</v>
      </c>
      <c r="C270" s="121">
        <v>45063</v>
      </c>
      <c r="D270" s="118">
        <v>1087.5945913</v>
      </c>
      <c r="E270" s="138">
        <v>1</v>
      </c>
    </row>
    <row r="271" spans="2:5" x14ac:dyDescent="0.25">
      <c r="B271" s="118" t="s">
        <v>281</v>
      </c>
      <c r="C271" s="121">
        <v>41893</v>
      </c>
      <c r="D271" s="118">
        <v>83071.234493240001</v>
      </c>
      <c r="E271" s="138">
        <v>1</v>
      </c>
    </row>
    <row r="272" spans="2:5" x14ac:dyDescent="0.25">
      <c r="B272" s="118" t="s">
        <v>284</v>
      </c>
      <c r="C272" s="121">
        <v>44267</v>
      </c>
      <c r="D272" s="118">
        <v>1480.57668984</v>
      </c>
      <c r="E272" s="138">
        <v>1</v>
      </c>
    </row>
    <row r="273" spans="2:5" x14ac:dyDescent="0.25">
      <c r="B273" s="118" t="s">
        <v>286</v>
      </c>
      <c r="C273" s="121">
        <v>44622</v>
      </c>
      <c r="D273" s="118">
        <v>4026.1048829199999</v>
      </c>
      <c r="E273" s="138">
        <v>1</v>
      </c>
    </row>
    <row r="274" spans="2:5" x14ac:dyDescent="0.25">
      <c r="B274" t="s">
        <v>536</v>
      </c>
      <c r="C274" s="72">
        <v>44953</v>
      </c>
      <c r="D274">
        <v>22453.62761335</v>
      </c>
      <c r="E274">
        <v>1</v>
      </c>
    </row>
    <row r="275" spans="2:5" x14ac:dyDescent="0.25">
      <c r="B275" t="s">
        <v>74</v>
      </c>
      <c r="C275" s="72">
        <v>43126</v>
      </c>
      <c r="D275">
        <v>57747.257279739999</v>
      </c>
      <c r="E275">
        <v>1</v>
      </c>
    </row>
    <row r="276" spans="2:5" x14ac:dyDescent="0.25">
      <c r="B276" t="s">
        <v>75</v>
      </c>
      <c r="C276" s="72">
        <v>43042</v>
      </c>
      <c r="D276">
        <v>84330.008150740003</v>
      </c>
      <c r="E276">
        <v>1</v>
      </c>
    </row>
    <row r="277" spans="2:5" x14ac:dyDescent="0.25">
      <c r="B277" t="s">
        <v>290</v>
      </c>
      <c r="C277" s="72">
        <v>41250</v>
      </c>
      <c r="D277">
        <v>94719.679999999993</v>
      </c>
      <c r="E277">
        <v>1</v>
      </c>
    </row>
    <row r="278" spans="2:5" x14ac:dyDescent="0.25">
      <c r="B278" t="s">
        <v>539</v>
      </c>
      <c r="C278" s="72">
        <v>42578</v>
      </c>
      <c r="D278">
        <v>13742.29947</v>
      </c>
      <c r="E278">
        <v>1</v>
      </c>
    </row>
    <row r="279" spans="2:5" x14ac:dyDescent="0.25">
      <c r="B279" t="s">
        <v>303</v>
      </c>
      <c r="C279" s="72">
        <v>43875</v>
      </c>
      <c r="D279">
        <v>5900.4787694500001</v>
      </c>
      <c r="E279">
        <v>1</v>
      </c>
    </row>
    <row r="280" spans="2:5" x14ac:dyDescent="0.25">
      <c r="B280" t="s">
        <v>516</v>
      </c>
      <c r="C280" s="72">
        <v>44287</v>
      </c>
      <c r="D280">
        <v>49244.486816149998</v>
      </c>
      <c r="E280">
        <v>1</v>
      </c>
    </row>
    <row r="281" spans="2:5" x14ac:dyDescent="0.25">
      <c r="B281" t="s">
        <v>515</v>
      </c>
      <c r="C281" s="72">
        <v>44649</v>
      </c>
      <c r="D281">
        <v>45484.202380390001</v>
      </c>
      <c r="E281">
        <v>1</v>
      </c>
    </row>
    <row r="282" spans="2:5" x14ac:dyDescent="0.25">
      <c r="B282" t="s">
        <v>508</v>
      </c>
      <c r="C282" s="72">
        <v>44820</v>
      </c>
      <c r="D282">
        <v>48548.268359590002</v>
      </c>
      <c r="E282">
        <v>1</v>
      </c>
    </row>
    <row r="283" spans="2:5" x14ac:dyDescent="0.25">
      <c r="B283" t="s">
        <v>311</v>
      </c>
      <c r="C283" s="72">
        <v>44650</v>
      </c>
      <c r="D283">
        <v>5097.0536857899997</v>
      </c>
      <c r="E283">
        <v>1</v>
      </c>
    </row>
    <row r="284" spans="2:5" x14ac:dyDescent="0.25">
      <c r="B284" t="s">
        <v>315</v>
      </c>
      <c r="C284" s="72">
        <v>43125</v>
      </c>
      <c r="D284">
        <v>11610.59631465</v>
      </c>
      <c r="E284">
        <v>1</v>
      </c>
    </row>
    <row r="285" spans="2:5" x14ac:dyDescent="0.25">
      <c r="B285" t="s">
        <v>317</v>
      </c>
      <c r="C285" s="72">
        <v>44953</v>
      </c>
      <c r="D285">
        <v>13930.171446300001</v>
      </c>
      <c r="E285">
        <v>1</v>
      </c>
    </row>
    <row r="286" spans="2:5" x14ac:dyDescent="0.25">
      <c r="B286" t="s">
        <v>318</v>
      </c>
      <c r="C286" s="72">
        <v>44221</v>
      </c>
      <c r="D286">
        <v>59872.37</v>
      </c>
      <c r="E286">
        <v>1</v>
      </c>
    </row>
    <row r="287" spans="2:5" x14ac:dyDescent="0.25">
      <c r="B287" t="s">
        <v>322</v>
      </c>
      <c r="C287" s="72">
        <v>44264</v>
      </c>
      <c r="D287">
        <v>12719.63</v>
      </c>
      <c r="E287">
        <v>1</v>
      </c>
    </row>
    <row r="288" spans="2:5" x14ac:dyDescent="0.25">
      <c r="B288" t="s">
        <v>323</v>
      </c>
      <c r="C288" s="72">
        <v>41904</v>
      </c>
      <c r="D288">
        <v>5684.71</v>
      </c>
      <c r="E288">
        <v>1</v>
      </c>
    </row>
    <row r="289" spans="2:5" x14ac:dyDescent="0.25">
      <c r="B289" t="s">
        <v>550</v>
      </c>
      <c r="C289" s="72">
        <v>45014</v>
      </c>
      <c r="D289">
        <v>10001.40964252</v>
      </c>
      <c r="E289">
        <v>1</v>
      </c>
    </row>
    <row r="290" spans="2:5" x14ac:dyDescent="0.25">
      <c r="B290" t="s">
        <v>330</v>
      </c>
      <c r="C290" s="72">
        <v>42520</v>
      </c>
      <c r="D290">
        <v>31469.57</v>
      </c>
      <c r="E290">
        <v>1</v>
      </c>
    </row>
    <row r="291" spans="2:5" x14ac:dyDescent="0.25">
      <c r="B291" t="s">
        <v>553</v>
      </c>
      <c r="C291" s="72">
        <v>45076</v>
      </c>
      <c r="D291">
        <v>1206.7840993</v>
      </c>
      <c r="E291">
        <v>1</v>
      </c>
    </row>
    <row r="292" spans="2:5" x14ac:dyDescent="0.25">
      <c r="B292" t="s">
        <v>334</v>
      </c>
      <c r="C292" s="72">
        <v>42521</v>
      </c>
      <c r="D292">
        <v>12168.93</v>
      </c>
      <c r="E292">
        <v>1</v>
      </c>
    </row>
    <row r="293" spans="2:5" x14ac:dyDescent="0.25">
      <c r="B293" t="s">
        <v>558</v>
      </c>
      <c r="C293" s="72">
        <v>45021</v>
      </c>
      <c r="D293">
        <v>3365.6116901999999</v>
      </c>
      <c r="E293">
        <v>1</v>
      </c>
    </row>
    <row r="294" spans="2:5" x14ac:dyDescent="0.25">
      <c r="B294" t="s">
        <v>566</v>
      </c>
      <c r="C294" s="72">
        <v>44985</v>
      </c>
      <c r="D294">
        <v>4221.6013364099999</v>
      </c>
      <c r="E294">
        <v>1</v>
      </c>
    </row>
    <row r="295" spans="2:5" x14ac:dyDescent="0.25">
      <c r="B295" t="s">
        <v>572</v>
      </c>
      <c r="C295" s="72">
        <v>44820</v>
      </c>
      <c r="D295">
        <v>241099.40739340999</v>
      </c>
      <c r="E295">
        <v>1</v>
      </c>
    </row>
    <row r="296" spans="2:5" x14ac:dyDescent="0.25">
      <c r="B296" t="s">
        <v>573</v>
      </c>
      <c r="C296" s="72">
        <v>44816</v>
      </c>
      <c r="D296">
        <v>47286.543722870003</v>
      </c>
      <c r="E296">
        <v>1</v>
      </c>
    </row>
    <row r="297" spans="2:5" x14ac:dyDescent="0.25">
      <c r="B297" t="s">
        <v>344</v>
      </c>
      <c r="C297" s="72">
        <v>43587</v>
      </c>
      <c r="D297">
        <v>21217.81</v>
      </c>
      <c r="E297">
        <v>1</v>
      </c>
    </row>
    <row r="298" spans="2:5" x14ac:dyDescent="0.25">
      <c r="B298" t="s">
        <v>358</v>
      </c>
      <c r="C298" s="72">
        <v>42122</v>
      </c>
      <c r="D298">
        <v>13908.83</v>
      </c>
      <c r="E298">
        <v>1</v>
      </c>
    </row>
    <row r="299" spans="2:5" x14ac:dyDescent="0.25">
      <c r="B299" t="s">
        <v>601</v>
      </c>
      <c r="C299" s="72">
        <v>45042</v>
      </c>
      <c r="D299">
        <v>22775.68</v>
      </c>
      <c r="E299">
        <v>1</v>
      </c>
    </row>
    <row r="300" spans="2:5" x14ac:dyDescent="0.25">
      <c r="B300" t="s">
        <v>602</v>
      </c>
      <c r="C300" s="72">
        <v>44987</v>
      </c>
      <c r="D300">
        <v>10166.42</v>
      </c>
      <c r="E300">
        <v>1</v>
      </c>
    </row>
    <row r="301" spans="2:5" x14ac:dyDescent="0.25">
      <c r="B301" t="s">
        <v>603</v>
      </c>
      <c r="C301" s="72">
        <v>44896</v>
      </c>
      <c r="D301">
        <v>9209.44</v>
      </c>
      <c r="E301">
        <v>1</v>
      </c>
    </row>
    <row r="302" spans="2:5" x14ac:dyDescent="0.25">
      <c r="B302" t="s">
        <v>607</v>
      </c>
      <c r="C302" s="72">
        <v>44603</v>
      </c>
      <c r="D302">
        <v>18572.78</v>
      </c>
      <c r="E302">
        <v>1</v>
      </c>
    </row>
    <row r="303" spans="2:5" x14ac:dyDescent="0.25">
      <c r="B303" t="s">
        <v>376</v>
      </c>
      <c r="C303" s="72">
        <v>38027</v>
      </c>
      <c r="D303">
        <v>108.65</v>
      </c>
      <c r="E303">
        <v>1</v>
      </c>
    </row>
    <row r="304" spans="2:5" x14ac:dyDescent="0.25">
      <c r="B304" t="s">
        <v>377</v>
      </c>
      <c r="C304" s="72">
        <v>37757</v>
      </c>
      <c r="D304">
        <v>125</v>
      </c>
      <c r="E304">
        <v>1</v>
      </c>
    </row>
    <row r="305" spans="2:5" x14ac:dyDescent="0.25">
      <c r="B305" t="s">
        <v>388</v>
      </c>
      <c r="C305" s="72">
        <v>38370</v>
      </c>
      <c r="D305">
        <v>242.71</v>
      </c>
      <c r="E305">
        <v>1</v>
      </c>
    </row>
    <row r="306" spans="2:5" x14ac:dyDescent="0.25">
      <c r="B306" t="s">
        <v>389</v>
      </c>
      <c r="C306" s="72">
        <v>38706</v>
      </c>
      <c r="D306">
        <v>128.63</v>
      </c>
      <c r="E306">
        <v>1</v>
      </c>
    </row>
    <row r="307" spans="2:5" x14ac:dyDescent="0.25">
      <c r="B307" t="s">
        <v>398</v>
      </c>
      <c r="C307" s="72">
        <v>42552</v>
      </c>
      <c r="D307">
        <v>1062.7544994699999</v>
      </c>
      <c r="E307">
        <v>1</v>
      </c>
    </row>
    <row r="308" spans="2:5" x14ac:dyDescent="0.25">
      <c r="B308" t="s">
        <v>400</v>
      </c>
      <c r="C308" s="72">
        <v>42550</v>
      </c>
      <c r="D308">
        <v>147.67885862</v>
      </c>
      <c r="E308">
        <v>1</v>
      </c>
    </row>
    <row r="309" spans="2:5" x14ac:dyDescent="0.25">
      <c r="B309" t="s">
        <v>410</v>
      </c>
      <c r="C309" s="72">
        <v>42479</v>
      </c>
      <c r="D309">
        <v>517.55154836999998</v>
      </c>
      <c r="E309">
        <v>1</v>
      </c>
    </row>
    <row r="310" spans="2:5" x14ac:dyDescent="0.25">
      <c r="B310" t="s">
        <v>413</v>
      </c>
      <c r="C310" s="72">
        <v>42030</v>
      </c>
      <c r="D310">
        <v>227.86509369000001</v>
      </c>
      <c r="E310">
        <v>1</v>
      </c>
    </row>
    <row r="311" spans="2:5" x14ac:dyDescent="0.25">
      <c r="B311" t="s">
        <v>415</v>
      </c>
      <c r="C311" s="72">
        <v>42339</v>
      </c>
      <c r="D311">
        <v>487.53221783999999</v>
      </c>
      <c r="E311">
        <v>1</v>
      </c>
    </row>
    <row r="312" spans="2:5" x14ac:dyDescent="0.25">
      <c r="B312" t="s">
        <v>203</v>
      </c>
      <c r="C312" s="72">
        <v>38713</v>
      </c>
      <c r="D312">
        <v>17296.830000000002</v>
      </c>
      <c r="E312">
        <v>1</v>
      </c>
    </row>
    <row r="313" spans="2:5" x14ac:dyDescent="0.25">
      <c r="B313" t="s">
        <v>215</v>
      </c>
      <c r="C313" s="72">
        <v>38709</v>
      </c>
      <c r="D313">
        <v>10955.45</v>
      </c>
      <c r="E313">
        <v>1</v>
      </c>
    </row>
    <row r="314" spans="2:5" x14ac:dyDescent="0.25">
      <c r="B314" t="s">
        <v>216</v>
      </c>
      <c r="C314" s="72">
        <v>38580</v>
      </c>
      <c r="D314">
        <v>2321.6</v>
      </c>
      <c r="E314">
        <v>1</v>
      </c>
    </row>
    <row r="315" spans="2:5" x14ac:dyDescent="0.25">
      <c r="B315" t="s">
        <v>219</v>
      </c>
      <c r="C315" s="72">
        <v>38663</v>
      </c>
      <c r="D315">
        <v>43569.17</v>
      </c>
      <c r="E315">
        <v>1</v>
      </c>
    </row>
    <row r="316" spans="2:5" x14ac:dyDescent="0.25">
      <c r="B316" t="s">
        <v>223</v>
      </c>
      <c r="C316" s="72">
        <v>38716</v>
      </c>
      <c r="D316">
        <v>23744.76</v>
      </c>
      <c r="E316">
        <v>1</v>
      </c>
    </row>
    <row r="317" spans="2:5" x14ac:dyDescent="0.25">
      <c r="B317" t="s">
        <v>234</v>
      </c>
      <c r="C317" s="72">
        <v>38713</v>
      </c>
      <c r="D317">
        <v>30401.200000000001</v>
      </c>
      <c r="E317">
        <v>1</v>
      </c>
    </row>
    <row r="318" spans="2:5" x14ac:dyDescent="0.25">
      <c r="B318" t="s">
        <v>235</v>
      </c>
      <c r="C318" s="72">
        <v>38709</v>
      </c>
      <c r="D318">
        <v>16626.419999999998</v>
      </c>
      <c r="E318">
        <v>1</v>
      </c>
    </row>
    <row r="319" spans="2:5" x14ac:dyDescent="0.25">
      <c r="B319" t="s">
        <v>245</v>
      </c>
      <c r="C319" s="72">
        <v>44953</v>
      </c>
      <c r="D319">
        <v>14108.549656339999</v>
      </c>
      <c r="E319">
        <v>1</v>
      </c>
    </row>
    <row r="320" spans="2:5" x14ac:dyDescent="0.25">
      <c r="B320" t="s">
        <v>99</v>
      </c>
      <c r="C320" s="72">
        <v>39587</v>
      </c>
      <c r="D320">
        <v>146.47999999999999</v>
      </c>
      <c r="E320">
        <v>1</v>
      </c>
    </row>
    <row r="321" spans="2:5" x14ac:dyDescent="0.25">
      <c r="B321" t="s">
        <v>253</v>
      </c>
      <c r="C321" s="72">
        <v>39604</v>
      </c>
      <c r="D321">
        <v>61121.71</v>
      </c>
      <c r="E321">
        <v>1</v>
      </c>
    </row>
    <row r="322" spans="2:5" x14ac:dyDescent="0.25">
      <c r="B322" t="s">
        <v>46</v>
      </c>
      <c r="C322" s="72">
        <v>44960</v>
      </c>
      <c r="D322">
        <v>71814.849617810003</v>
      </c>
      <c r="E322">
        <v>1</v>
      </c>
    </row>
    <row r="323" spans="2:5" x14ac:dyDescent="0.25">
      <c r="B323" t="s">
        <v>42</v>
      </c>
      <c r="C323" s="72">
        <v>44953</v>
      </c>
      <c r="D323">
        <v>80791.355453979995</v>
      </c>
      <c r="E323">
        <v>1</v>
      </c>
    </row>
    <row r="324" spans="2:5" x14ac:dyDescent="0.25">
      <c r="B324" t="s">
        <v>48</v>
      </c>
      <c r="C324" s="72">
        <v>44578</v>
      </c>
      <c r="D324">
        <v>8955.0713737599999</v>
      </c>
      <c r="E324">
        <v>1</v>
      </c>
    </row>
    <row r="325" spans="2:5" x14ac:dyDescent="0.25">
      <c r="B325" t="s">
        <v>66</v>
      </c>
      <c r="C325" s="72">
        <v>43165</v>
      </c>
      <c r="D325">
        <v>18847.577311370002</v>
      </c>
      <c r="E325">
        <v>1</v>
      </c>
    </row>
    <row r="326" spans="2:5" x14ac:dyDescent="0.25">
      <c r="B326" t="s">
        <v>68</v>
      </c>
      <c r="C326" s="72">
        <v>44992</v>
      </c>
      <c r="D326">
        <v>103984.40357676</v>
      </c>
      <c r="E326">
        <v>1</v>
      </c>
    </row>
    <row r="327" spans="2:5" x14ac:dyDescent="0.25">
      <c r="B327" t="s">
        <v>102</v>
      </c>
      <c r="C327" s="72">
        <v>42346</v>
      </c>
      <c r="D327">
        <v>1703.8449540300001</v>
      </c>
      <c r="E327">
        <v>1</v>
      </c>
    </row>
    <row r="328" spans="2:5" x14ac:dyDescent="0.25">
      <c r="B328" t="s">
        <v>261</v>
      </c>
      <c r="C328" s="72">
        <v>43738</v>
      </c>
      <c r="D328">
        <v>562.66120274000002</v>
      </c>
      <c r="E328">
        <v>1</v>
      </c>
    </row>
    <row r="329" spans="2:5" x14ac:dyDescent="0.25">
      <c r="B329" t="s">
        <v>92</v>
      </c>
      <c r="C329" s="72">
        <v>42305</v>
      </c>
      <c r="D329">
        <v>597.8558587</v>
      </c>
      <c r="E329">
        <v>1</v>
      </c>
    </row>
    <row r="330" spans="2:5" x14ac:dyDescent="0.25">
      <c r="B330" t="s">
        <v>275</v>
      </c>
      <c r="C330" s="72">
        <v>43125</v>
      </c>
      <c r="D330">
        <v>11425.13000949</v>
      </c>
      <c r="E330">
        <v>1</v>
      </c>
    </row>
    <row r="331" spans="2:5" x14ac:dyDescent="0.25">
      <c r="B331" t="s">
        <v>280</v>
      </c>
      <c r="C331" s="72">
        <v>40581</v>
      </c>
      <c r="D331">
        <v>82132.160000000003</v>
      </c>
      <c r="E331">
        <v>1</v>
      </c>
    </row>
    <row r="332" spans="2:5" x14ac:dyDescent="0.25">
      <c r="B332" t="s">
        <v>283</v>
      </c>
      <c r="C332" s="72">
        <v>38840</v>
      </c>
      <c r="D332">
        <v>2905.13</v>
      </c>
      <c r="E332">
        <v>1</v>
      </c>
    </row>
    <row r="333" spans="2:5" x14ac:dyDescent="0.25">
      <c r="B333" t="s">
        <v>52</v>
      </c>
      <c r="C333" s="72">
        <v>44953</v>
      </c>
      <c r="D333">
        <v>15215.25711737</v>
      </c>
      <c r="E333">
        <v>1</v>
      </c>
    </row>
    <row r="334" spans="2:5" x14ac:dyDescent="0.25">
      <c r="B334" t="s">
        <v>72</v>
      </c>
      <c r="C334" s="72">
        <v>44263</v>
      </c>
      <c r="D334">
        <v>51535.333108639999</v>
      </c>
      <c r="E334">
        <v>1</v>
      </c>
    </row>
    <row r="335" spans="2:5" x14ac:dyDescent="0.25">
      <c r="B335" t="s">
        <v>84</v>
      </c>
      <c r="C335" s="72">
        <v>41893</v>
      </c>
      <c r="D335">
        <v>95446.135778840006</v>
      </c>
      <c r="E335">
        <v>1</v>
      </c>
    </row>
    <row r="336" spans="2:5" x14ac:dyDescent="0.25">
      <c r="B336" t="s">
        <v>292</v>
      </c>
      <c r="C336" s="72">
        <v>40581</v>
      </c>
      <c r="D336">
        <v>88089.14</v>
      </c>
      <c r="E336">
        <v>1</v>
      </c>
    </row>
    <row r="337" spans="2:5" x14ac:dyDescent="0.25">
      <c r="B337" t="s">
        <v>293</v>
      </c>
      <c r="C337" s="72">
        <v>42655</v>
      </c>
      <c r="D337">
        <v>6829.7257960500001</v>
      </c>
      <c r="E337">
        <v>1</v>
      </c>
    </row>
    <row r="338" spans="2:5" x14ac:dyDescent="0.25">
      <c r="B338" t="s">
        <v>294</v>
      </c>
      <c r="C338" s="72">
        <v>43125</v>
      </c>
      <c r="D338">
        <v>9856.3269865999991</v>
      </c>
      <c r="E338">
        <v>1</v>
      </c>
    </row>
    <row r="339" spans="2:5" x14ac:dyDescent="0.25">
      <c r="B339" t="s">
        <v>297</v>
      </c>
      <c r="C339" s="72">
        <v>39381</v>
      </c>
      <c r="D339">
        <v>42355.94</v>
      </c>
      <c r="E339">
        <v>1</v>
      </c>
    </row>
    <row r="340" spans="2:5" x14ac:dyDescent="0.25">
      <c r="B340" t="s">
        <v>301</v>
      </c>
      <c r="C340" s="72">
        <v>39209</v>
      </c>
      <c r="D340">
        <v>910.48</v>
      </c>
      <c r="E340">
        <v>1</v>
      </c>
    </row>
    <row r="341" spans="2:5" x14ac:dyDescent="0.25">
      <c r="B341" t="s">
        <v>518</v>
      </c>
      <c r="C341" s="72">
        <v>44467</v>
      </c>
      <c r="D341">
        <v>5917.4404180399997</v>
      </c>
      <c r="E341">
        <v>1</v>
      </c>
    </row>
    <row r="342" spans="2:5" x14ac:dyDescent="0.25">
      <c r="B342" t="s">
        <v>512</v>
      </c>
      <c r="C342" s="72">
        <v>45058</v>
      </c>
      <c r="D342">
        <v>43472.300306559999</v>
      </c>
      <c r="E342">
        <v>1</v>
      </c>
    </row>
    <row r="343" spans="2:5" x14ac:dyDescent="0.25">
      <c r="B343" t="s">
        <v>312</v>
      </c>
      <c r="C343" s="72">
        <v>44953</v>
      </c>
      <c r="D343">
        <v>80791.355453979995</v>
      </c>
      <c r="E343">
        <v>1</v>
      </c>
    </row>
    <row r="344" spans="2:5" x14ac:dyDescent="0.25">
      <c r="B344" t="s">
        <v>316</v>
      </c>
      <c r="C344" s="72">
        <v>44622</v>
      </c>
      <c r="D344">
        <v>5066.9148220400002</v>
      </c>
      <c r="E344">
        <v>1</v>
      </c>
    </row>
    <row r="345" spans="2:5" x14ac:dyDescent="0.25">
      <c r="B345" t="s">
        <v>320</v>
      </c>
      <c r="C345" s="72">
        <v>43348</v>
      </c>
      <c r="D345">
        <v>19072.88</v>
      </c>
      <c r="E345">
        <v>1</v>
      </c>
    </row>
    <row r="346" spans="2:5" x14ac:dyDescent="0.25">
      <c r="B346" t="s">
        <v>327</v>
      </c>
      <c r="C346" s="72">
        <v>43131</v>
      </c>
      <c r="D346">
        <v>8207.27</v>
      </c>
      <c r="E346">
        <v>1</v>
      </c>
    </row>
    <row r="347" spans="2:5" x14ac:dyDescent="0.25">
      <c r="B347" t="s">
        <v>552</v>
      </c>
      <c r="C347" s="72">
        <v>44994</v>
      </c>
      <c r="D347">
        <v>82967.709178599995</v>
      </c>
      <c r="E347">
        <v>1</v>
      </c>
    </row>
    <row r="348" spans="2:5" x14ac:dyDescent="0.25">
      <c r="B348" t="s">
        <v>554</v>
      </c>
      <c r="C348" s="72">
        <v>44481</v>
      </c>
      <c r="D348">
        <v>6992.6479164800003</v>
      </c>
      <c r="E348">
        <v>1</v>
      </c>
    </row>
    <row r="349" spans="2:5" x14ac:dyDescent="0.25">
      <c r="B349" t="s">
        <v>556</v>
      </c>
      <c r="C349" s="72">
        <v>45065</v>
      </c>
      <c r="D349">
        <v>3371.1962772299999</v>
      </c>
      <c r="E349">
        <v>1</v>
      </c>
    </row>
    <row r="350" spans="2:5" x14ac:dyDescent="0.25">
      <c r="B350" t="s">
        <v>561</v>
      </c>
      <c r="C350" s="72">
        <v>44896</v>
      </c>
      <c r="D350">
        <v>9379.4863880299999</v>
      </c>
      <c r="E350">
        <v>1</v>
      </c>
    </row>
    <row r="351" spans="2:5" x14ac:dyDescent="0.25">
      <c r="B351" t="s">
        <v>570</v>
      </c>
      <c r="C351" s="72">
        <v>44621</v>
      </c>
      <c r="D351">
        <v>75185.759196829997</v>
      </c>
      <c r="E351">
        <v>1</v>
      </c>
    </row>
    <row r="352" spans="2:5" x14ac:dyDescent="0.25">
      <c r="B352" t="s">
        <v>341</v>
      </c>
      <c r="C352" s="72">
        <v>43627</v>
      </c>
      <c r="D352">
        <v>9352.09</v>
      </c>
      <c r="E352">
        <v>1</v>
      </c>
    </row>
    <row r="353" spans="2:5" x14ac:dyDescent="0.25">
      <c r="B353" t="s">
        <v>345</v>
      </c>
      <c r="C353" s="72">
        <v>43165</v>
      </c>
      <c r="D353">
        <v>15182</v>
      </c>
      <c r="E353">
        <v>1</v>
      </c>
    </row>
    <row r="354" spans="2:5" x14ac:dyDescent="0.25">
      <c r="B354" t="s">
        <v>350</v>
      </c>
      <c r="C354" s="72">
        <v>42222</v>
      </c>
      <c r="D354">
        <v>28083.96</v>
      </c>
      <c r="E354">
        <v>1</v>
      </c>
    </row>
    <row r="355" spans="2:5" x14ac:dyDescent="0.25">
      <c r="B355" t="s">
        <v>353</v>
      </c>
      <c r="C355" s="72">
        <v>44264</v>
      </c>
      <c r="D355">
        <v>10031.93</v>
      </c>
      <c r="E355">
        <v>1</v>
      </c>
    </row>
    <row r="356" spans="2:5" x14ac:dyDescent="0.25">
      <c r="B356" t="s">
        <v>365</v>
      </c>
      <c r="C356" s="72">
        <v>44622</v>
      </c>
      <c r="D356">
        <v>9798.27</v>
      </c>
      <c r="E356">
        <v>1</v>
      </c>
    </row>
    <row r="357" spans="2:5" x14ac:dyDescent="0.25">
      <c r="B357" t="s">
        <v>578</v>
      </c>
      <c r="C357" s="72">
        <v>44567</v>
      </c>
      <c r="D357">
        <v>1216.95</v>
      </c>
      <c r="E357">
        <v>1</v>
      </c>
    </row>
    <row r="358" spans="2:5" x14ac:dyDescent="0.25">
      <c r="B358" t="s">
        <v>579</v>
      </c>
      <c r="C358" s="72">
        <v>44973</v>
      </c>
      <c r="D358">
        <v>52045.59</v>
      </c>
      <c r="E358">
        <v>1</v>
      </c>
    </row>
    <row r="359" spans="2:5" x14ac:dyDescent="0.25">
      <c r="B359" t="s">
        <v>580</v>
      </c>
      <c r="C359" s="72">
        <v>44980</v>
      </c>
      <c r="D359">
        <v>16384.21</v>
      </c>
      <c r="E359">
        <v>1</v>
      </c>
    </row>
    <row r="360" spans="2:5" x14ac:dyDescent="0.25">
      <c r="B360" t="s">
        <v>586</v>
      </c>
      <c r="C360" s="72">
        <v>45062</v>
      </c>
      <c r="D360">
        <v>13818.01</v>
      </c>
      <c r="E360">
        <v>1</v>
      </c>
    </row>
    <row r="361" spans="2:5" x14ac:dyDescent="0.25">
      <c r="B361" t="s">
        <v>591</v>
      </c>
      <c r="C361" s="72">
        <v>45014</v>
      </c>
      <c r="D361">
        <v>22699.83</v>
      </c>
      <c r="E361">
        <v>1</v>
      </c>
    </row>
    <row r="362" spans="2:5" x14ac:dyDescent="0.25">
      <c r="B362" t="s">
        <v>593</v>
      </c>
      <c r="C362" s="72">
        <v>44994</v>
      </c>
      <c r="D362">
        <v>19603.13</v>
      </c>
      <c r="E362">
        <v>1</v>
      </c>
    </row>
    <row r="363" spans="2:5" x14ac:dyDescent="0.25">
      <c r="B363" t="s">
        <v>596</v>
      </c>
      <c r="C363" s="72">
        <v>44481</v>
      </c>
      <c r="D363">
        <v>12417.31</v>
      </c>
      <c r="E363">
        <v>1</v>
      </c>
    </row>
    <row r="364" spans="2:5" x14ac:dyDescent="0.25">
      <c r="B364" t="s">
        <v>598</v>
      </c>
      <c r="C364" s="72">
        <v>45065</v>
      </c>
      <c r="D364">
        <v>130267.16</v>
      </c>
      <c r="E364">
        <v>1</v>
      </c>
    </row>
    <row r="365" spans="2:5" x14ac:dyDescent="0.25">
      <c r="B365" t="s">
        <v>610</v>
      </c>
      <c r="C365" s="72">
        <v>44693</v>
      </c>
      <c r="D365">
        <v>22947.87</v>
      </c>
      <c r="E365">
        <v>1</v>
      </c>
    </row>
    <row r="366" spans="2:5" x14ac:dyDescent="0.25">
      <c r="B366" t="s">
        <v>611</v>
      </c>
      <c r="C366" s="72">
        <v>44949</v>
      </c>
      <c r="D366">
        <v>11418.88</v>
      </c>
      <c r="E366">
        <v>1</v>
      </c>
    </row>
    <row r="367" spans="2:5" x14ac:dyDescent="0.25">
      <c r="B367" t="s">
        <v>612</v>
      </c>
      <c r="C367" s="72">
        <v>44622</v>
      </c>
      <c r="D367">
        <v>14295.79</v>
      </c>
      <c r="E367">
        <v>1</v>
      </c>
    </row>
    <row r="368" spans="2:5" x14ac:dyDescent="0.25">
      <c r="B368" t="s">
        <v>614</v>
      </c>
      <c r="C368" s="72">
        <v>44820</v>
      </c>
      <c r="D368">
        <v>84285.06</v>
      </c>
      <c r="E368">
        <v>1</v>
      </c>
    </row>
    <row r="369" spans="2:5" x14ac:dyDescent="0.25">
      <c r="B369" t="s">
        <v>369</v>
      </c>
      <c r="C369" s="72">
        <v>44076</v>
      </c>
      <c r="D369">
        <v>70402.447598739993</v>
      </c>
      <c r="E369">
        <v>1</v>
      </c>
    </row>
    <row r="370" spans="2:5" x14ac:dyDescent="0.25">
      <c r="B370" t="s">
        <v>370</v>
      </c>
      <c r="C370" s="72">
        <v>37469</v>
      </c>
      <c r="D370">
        <v>394.88</v>
      </c>
      <c r="E370">
        <v>1</v>
      </c>
    </row>
    <row r="371" spans="2:5" x14ac:dyDescent="0.25">
      <c r="B371" t="s">
        <v>375</v>
      </c>
      <c r="C371" s="72">
        <v>38624</v>
      </c>
      <c r="D371">
        <v>173.45</v>
      </c>
      <c r="E371">
        <v>1</v>
      </c>
    </row>
    <row r="372" spans="2:5" x14ac:dyDescent="0.25">
      <c r="B372" t="s">
        <v>380</v>
      </c>
      <c r="C372" s="72">
        <v>38715</v>
      </c>
      <c r="D372">
        <v>510.55</v>
      </c>
      <c r="E372">
        <v>1</v>
      </c>
    </row>
    <row r="373" spans="2:5" x14ac:dyDescent="0.25">
      <c r="B373" t="s">
        <v>381</v>
      </c>
      <c r="C373" s="72">
        <v>38260</v>
      </c>
      <c r="D373">
        <v>730.16</v>
      </c>
      <c r="E373">
        <v>1</v>
      </c>
    </row>
    <row r="374" spans="2:5" x14ac:dyDescent="0.25">
      <c r="B374" t="s">
        <v>384</v>
      </c>
      <c r="C374" s="72">
        <v>38713</v>
      </c>
      <c r="D374">
        <v>185.77</v>
      </c>
      <c r="E374">
        <v>1</v>
      </c>
    </row>
    <row r="375" spans="2:5" x14ac:dyDescent="0.25">
      <c r="B375" t="s">
        <v>401</v>
      </c>
      <c r="C375" s="72">
        <v>39618</v>
      </c>
      <c r="D375">
        <v>562.29</v>
      </c>
      <c r="E375">
        <v>1</v>
      </c>
    </row>
    <row r="376" spans="2:5" x14ac:dyDescent="0.25">
      <c r="B376" t="s">
        <v>409</v>
      </c>
      <c r="C376" s="72">
        <v>42117</v>
      </c>
      <c r="D376">
        <v>650.14363865999997</v>
      </c>
      <c r="E376">
        <v>1</v>
      </c>
    </row>
    <row r="377" spans="2:5" x14ac:dyDescent="0.25">
      <c r="B377" t="s">
        <v>411</v>
      </c>
      <c r="C377" s="72">
        <v>42110</v>
      </c>
      <c r="D377">
        <v>419.85620591000003</v>
      </c>
      <c r="E377">
        <v>1</v>
      </c>
    </row>
    <row r="378" spans="2:5" x14ac:dyDescent="0.25">
      <c r="B378" t="s">
        <v>412</v>
      </c>
      <c r="C378" s="72">
        <v>41444</v>
      </c>
      <c r="D378">
        <v>1386.8</v>
      </c>
      <c r="E378">
        <v>1</v>
      </c>
    </row>
    <row r="379" spans="2:5" x14ac:dyDescent="0.25">
      <c r="B379" t="s">
        <v>416</v>
      </c>
      <c r="C379" s="72">
        <v>38866</v>
      </c>
      <c r="D379">
        <v>203.88</v>
      </c>
      <c r="E379">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customWidth="1"/>
    <col min="2" max="2" width="17.88671875" bestFit="1" customWidth="1"/>
    <col min="3" max="3" width="15" bestFit="1" customWidth="1"/>
    <col min="4" max="4" width="11.44140625" bestFit="1" customWidth="1"/>
    <col min="5" max="5" width="10.5546875" bestFit="1" customWidth="1"/>
    <col min="6" max="6" width="13.44140625" bestFit="1" customWidth="1"/>
    <col min="7" max="7" width="11.109375" bestFit="1" customWidth="1"/>
    <col min="8" max="9" width="11.44140625" bestFit="1" customWidth="1"/>
    <col min="10" max="10" width="10.44140625" bestFit="1" customWidth="1"/>
  </cols>
  <sheetData>
    <row r="1" spans="1:13" s="27" customFormat="1" x14ac:dyDescent="0.25">
      <c r="A1" s="1"/>
    </row>
    <row r="2" spans="1:13" s="1" customFormat="1" x14ac:dyDescent="0.25">
      <c r="F2" s="254"/>
      <c r="G2" s="254"/>
      <c r="H2" s="254"/>
      <c r="I2" s="254"/>
    </row>
    <row r="3" spans="1:13" s="1" customFormat="1" x14ac:dyDescent="0.25">
      <c r="B3" s="10"/>
      <c r="C3" s="21"/>
      <c r="D3" s="10"/>
      <c r="E3" s="21"/>
      <c r="G3" s="21"/>
      <c r="I3" s="21"/>
      <c r="K3"/>
    </row>
    <row r="4" spans="1:13" x14ac:dyDescent="0.25">
      <c r="B4" s="13"/>
      <c r="C4" s="31"/>
      <c r="D4" s="13"/>
      <c r="E4" s="31"/>
      <c r="G4" s="31"/>
      <c r="I4" s="31"/>
      <c r="J4" s="13"/>
    </row>
    <row r="5" spans="1:13" x14ac:dyDescent="0.25">
      <c r="B5" s="13"/>
      <c r="C5" s="31"/>
      <c r="D5" s="13"/>
      <c r="E5" s="31"/>
      <c r="G5" s="31"/>
      <c r="I5" s="31"/>
      <c r="J5" s="13"/>
    </row>
    <row r="6" spans="1:13" x14ac:dyDescent="0.25">
      <c r="B6" s="39"/>
      <c r="C6" s="31"/>
      <c r="D6" s="39"/>
      <c r="E6" s="31"/>
      <c r="G6" s="31"/>
      <c r="I6" s="31"/>
      <c r="J6" s="13"/>
    </row>
    <row r="7" spans="1:13" x14ac:dyDescent="0.25">
      <c r="B7" s="39"/>
      <c r="C7" s="31"/>
      <c r="D7" s="39"/>
      <c r="E7" s="31"/>
      <c r="G7" s="31"/>
      <c r="I7" s="31"/>
    </row>
    <row r="8" spans="1:13" x14ac:dyDescent="0.25">
      <c r="A8" s="15"/>
      <c r="B8" s="15"/>
      <c r="D8" s="13"/>
      <c r="E8" s="23"/>
    </row>
    <row r="9" spans="1:13" x14ac:dyDescent="0.25">
      <c r="A9" s="15"/>
      <c r="B9" s="28"/>
      <c r="J9" s="13"/>
    </row>
    <row r="10" spans="1:13" x14ac:dyDescent="0.25">
      <c r="J10" s="13"/>
    </row>
    <row r="11" spans="1:13" x14ac:dyDescent="0.25">
      <c r="A11" s="27"/>
      <c r="J11" s="13"/>
      <c r="K11" s="13"/>
    </row>
    <row r="12" spans="1:13" s="1" customFormat="1" x14ac:dyDescent="0.25">
      <c r="J12" s="26"/>
      <c r="K12" s="26"/>
    </row>
    <row r="13" spans="1:13" s="1" customFormat="1" x14ac:dyDescent="0.25">
      <c r="B13" s="21"/>
      <c r="C13" s="21"/>
      <c r="D13" s="21"/>
      <c r="E13" s="21"/>
      <c r="F13" s="14"/>
    </row>
    <row r="14" spans="1:13" s="1" customFormat="1" x14ac:dyDescent="0.25">
      <c r="B14" s="21"/>
      <c r="C14" s="21"/>
      <c r="D14" s="21"/>
      <c r="E14" s="21"/>
      <c r="F14" s="14"/>
    </row>
    <row r="15" spans="1:13" s="1" customFormat="1" x14ac:dyDescent="0.25">
      <c r="B15" s="22"/>
      <c r="C15" s="22"/>
      <c r="D15" s="22"/>
      <c r="E15" s="21"/>
      <c r="F15" s="21"/>
      <c r="G15" s="21"/>
      <c r="H15" s="21"/>
      <c r="I15" s="21"/>
      <c r="J15" s="21"/>
      <c r="M15"/>
    </row>
    <row r="16" spans="1:13" ht="14.4" x14ac:dyDescent="0.3">
      <c r="B16" s="56"/>
      <c r="C16" s="46"/>
      <c r="D16" s="13"/>
      <c r="F16" s="31"/>
      <c r="G16" s="13"/>
      <c r="H16" s="13"/>
      <c r="I16" s="13"/>
      <c r="J16" s="13"/>
      <c r="K16" s="23"/>
      <c r="L16" s="14"/>
    </row>
    <row r="17" spans="1:12" ht="14.4" x14ac:dyDescent="0.3">
      <c r="B17" s="56"/>
      <c r="C17" s="46"/>
      <c r="D17" s="13"/>
      <c r="F17" s="31"/>
      <c r="G17" s="13"/>
      <c r="H17" s="13"/>
      <c r="I17" s="13"/>
      <c r="J17" s="13"/>
      <c r="K17" s="23"/>
      <c r="L17" s="16"/>
    </row>
    <row r="18" spans="1:12" x14ac:dyDescent="0.25">
      <c r="B18" s="3"/>
      <c r="C18" s="13"/>
      <c r="D18" s="13"/>
      <c r="F18" s="31"/>
      <c r="G18" s="2"/>
      <c r="H18" s="2"/>
      <c r="I18" s="2"/>
      <c r="J18" s="2"/>
      <c r="K18" s="23"/>
      <c r="L18" s="16"/>
    </row>
    <row r="19" spans="1:12" ht="14.4" x14ac:dyDescent="0.3">
      <c r="B19" s="56"/>
      <c r="C19" s="13"/>
      <c r="D19" s="13"/>
      <c r="F19" s="31"/>
      <c r="G19" s="13"/>
      <c r="H19" s="13"/>
      <c r="I19" s="13"/>
      <c r="J19" s="13"/>
      <c r="K19" s="23"/>
      <c r="L19" s="16"/>
    </row>
    <row r="20" spans="1:12" ht="14.4" x14ac:dyDescent="0.3">
      <c r="B20" s="56"/>
      <c r="C20" s="13"/>
      <c r="D20" s="13"/>
      <c r="F20" s="31"/>
      <c r="G20" s="13"/>
      <c r="H20" s="13"/>
      <c r="I20" s="13"/>
      <c r="J20" s="13"/>
      <c r="K20" s="23"/>
      <c r="L20" s="16"/>
    </row>
    <row r="21" spans="1:12" s="1" customFormat="1" x14ac:dyDescent="0.25">
      <c r="B21" s="26"/>
      <c r="C21" s="26"/>
      <c r="D21" s="26"/>
      <c r="F21" s="26"/>
      <c r="G21" s="26"/>
      <c r="H21" s="26"/>
      <c r="I21" s="26"/>
      <c r="J21" s="26"/>
      <c r="K21" s="25"/>
      <c r="L21" s="14"/>
    </row>
    <row r="22" spans="1:12" x14ac:dyDescent="0.25">
      <c r="A22" s="15"/>
      <c r="B22" s="13"/>
    </row>
    <row r="24" spans="1:12" x14ac:dyDescent="0.25">
      <c r="A24" s="27"/>
    </row>
    <row r="25" spans="1:12" s="1" customFormat="1" x14ac:dyDescent="0.25">
      <c r="B25" s="21"/>
      <c r="C25" s="21"/>
      <c r="D25" s="21"/>
      <c r="E25" s="21"/>
      <c r="F25" s="21"/>
    </row>
    <row r="26" spans="1:12" s="1" customFormat="1" x14ac:dyDescent="0.25">
      <c r="B26" s="21"/>
      <c r="C26" s="21"/>
      <c r="D26" s="21"/>
      <c r="E26" s="21"/>
      <c r="F26" s="21"/>
    </row>
    <row r="27" spans="1:12" s="1" customFormat="1" x14ac:dyDescent="0.25">
      <c r="B27" s="22"/>
      <c r="C27" s="22"/>
      <c r="D27" s="22"/>
      <c r="E27" s="21"/>
      <c r="F27" s="21"/>
      <c r="G27" s="21"/>
      <c r="H27" s="21"/>
      <c r="I27" s="21"/>
      <c r="J27" s="21"/>
    </row>
    <row r="28" spans="1:12" ht="13.5" customHeight="1" x14ac:dyDescent="0.25">
      <c r="B28" s="29"/>
      <c r="C28" s="29"/>
      <c r="D28" s="29"/>
      <c r="F28" s="36"/>
      <c r="G28" s="36"/>
      <c r="H28" s="36"/>
      <c r="I28" s="36"/>
      <c r="J28" s="36"/>
    </row>
    <row r="29" spans="1:12" x14ac:dyDescent="0.25">
      <c r="B29" s="39"/>
      <c r="C29" s="39"/>
      <c r="D29" s="29"/>
      <c r="F29" s="36"/>
      <c r="G29" s="36"/>
      <c r="H29" s="36"/>
      <c r="I29" s="36"/>
      <c r="J29" s="36"/>
    </row>
    <row r="30" spans="1:12" x14ac:dyDescent="0.25">
      <c r="A30" s="15"/>
      <c r="B30" s="29"/>
      <c r="C30" s="36"/>
      <c r="D30" s="32"/>
      <c r="E30" s="36"/>
      <c r="F30" s="36"/>
      <c r="G30" s="36"/>
      <c r="H30" s="29"/>
      <c r="I30" s="29"/>
    </row>
    <row r="32" spans="1:12" s="1" customFormat="1" x14ac:dyDescent="0.25">
      <c r="A32" s="27"/>
    </row>
    <row r="33" spans="1:11" s="1" customFormat="1" x14ac:dyDescent="0.25"/>
    <row r="34" spans="1:11" s="1" customFormat="1" x14ac:dyDescent="0.25">
      <c r="B34" s="21"/>
      <c r="C34" s="21"/>
      <c r="D34" s="21"/>
      <c r="E34" s="21"/>
    </row>
    <row r="35" spans="1:11" s="1" customFormat="1" x14ac:dyDescent="0.25">
      <c r="B35" s="21"/>
      <c r="C35" s="21"/>
      <c r="D35" s="21"/>
      <c r="E35" s="21"/>
    </row>
    <row r="36" spans="1:11" s="1" customFormat="1" x14ac:dyDescent="0.25">
      <c r="B36" s="22"/>
      <c r="C36" s="22"/>
      <c r="D36" s="22"/>
      <c r="E36" s="21"/>
      <c r="F36" s="21"/>
      <c r="G36" s="21"/>
      <c r="H36" s="21"/>
      <c r="I36" s="21"/>
      <c r="J36" s="21"/>
    </row>
    <row r="37" spans="1:11" x14ac:dyDescent="0.25">
      <c r="A37" s="27"/>
    </row>
    <row r="38" spans="1:11" x14ac:dyDescent="0.25">
      <c r="B38" s="13"/>
      <c r="C38" s="13"/>
      <c r="F38" s="13"/>
      <c r="G38" s="13"/>
      <c r="H38" s="13"/>
      <c r="I38" s="13"/>
      <c r="J38" s="13"/>
      <c r="K38" s="23"/>
    </row>
    <row r="39" spans="1:11" x14ac:dyDescent="0.25">
      <c r="B39" s="13"/>
      <c r="C39" s="13"/>
      <c r="D39" s="13"/>
      <c r="F39" s="13"/>
      <c r="G39" s="13"/>
      <c r="H39" s="13"/>
      <c r="I39" s="13"/>
      <c r="J39" s="13"/>
      <c r="K39" s="23"/>
    </row>
    <row r="40" spans="1:11" x14ac:dyDescent="0.25">
      <c r="B40" s="13"/>
      <c r="C40" s="13"/>
      <c r="D40" s="13"/>
      <c r="F40" s="13"/>
      <c r="G40" s="13"/>
      <c r="H40" s="13"/>
      <c r="I40" s="13"/>
      <c r="J40" s="13"/>
      <c r="K40" s="23"/>
    </row>
    <row r="41" spans="1:11" ht="13.8" x14ac:dyDescent="0.25">
      <c r="A41" s="18"/>
      <c r="B41" s="30"/>
      <c r="C41" s="30"/>
      <c r="D41" s="30"/>
      <c r="F41" s="13"/>
      <c r="G41" s="13"/>
      <c r="H41" s="30"/>
      <c r="I41" s="30"/>
      <c r="J41" s="30"/>
      <c r="K41" s="13"/>
    </row>
    <row r="42" spans="1:11" x14ac:dyDescent="0.25">
      <c r="A42" s="1"/>
      <c r="B42" s="13"/>
      <c r="C42" s="13"/>
      <c r="D42" s="13"/>
      <c r="F42" s="13"/>
      <c r="G42" s="13"/>
      <c r="H42" s="13"/>
      <c r="I42" s="13"/>
      <c r="J42" s="13"/>
      <c r="K42" s="13"/>
    </row>
    <row r="43" spans="1:11" x14ac:dyDescent="0.25">
      <c r="B43" s="13"/>
      <c r="C43" s="13"/>
      <c r="D43" s="13"/>
      <c r="F43" s="13"/>
      <c r="G43" s="13"/>
      <c r="H43" s="13"/>
      <c r="I43" s="13"/>
      <c r="J43" s="13"/>
      <c r="K43" s="23"/>
    </row>
    <row r="44" spans="1:11" x14ac:dyDescent="0.25">
      <c r="B44" s="13"/>
      <c r="C44" s="13"/>
      <c r="D44" s="13"/>
      <c r="F44" s="13"/>
      <c r="G44" s="13"/>
      <c r="H44" s="13"/>
      <c r="I44" s="13"/>
      <c r="J44" s="13"/>
      <c r="K44" s="23"/>
    </row>
    <row r="45" spans="1:11" x14ac:dyDescent="0.25">
      <c r="B45" s="13"/>
      <c r="C45" s="13"/>
      <c r="D45" s="13"/>
      <c r="F45" s="13"/>
      <c r="G45" s="13"/>
      <c r="H45" s="13"/>
      <c r="I45" s="13"/>
      <c r="J45" s="13"/>
      <c r="K45" s="23"/>
    </row>
    <row r="46" spans="1:11" ht="13.8" x14ac:dyDescent="0.25">
      <c r="A46" s="18"/>
      <c r="B46" s="30"/>
      <c r="C46" s="30"/>
      <c r="D46" s="30"/>
      <c r="F46" s="30"/>
      <c r="G46" s="30"/>
      <c r="H46" s="30"/>
      <c r="I46" s="30"/>
      <c r="J46" s="30"/>
      <c r="K46" s="13"/>
    </row>
    <row r="47" spans="1:11" x14ac:dyDescent="0.25">
      <c r="A47" s="1"/>
      <c r="B47" s="13"/>
      <c r="C47" s="13"/>
      <c r="D47" s="13"/>
      <c r="F47" s="13"/>
      <c r="G47" s="13"/>
      <c r="H47" s="13"/>
      <c r="I47" s="13"/>
      <c r="J47" s="13"/>
      <c r="K47" s="13"/>
    </row>
    <row r="48" spans="1:11" x14ac:dyDescent="0.25">
      <c r="B48" s="13"/>
      <c r="C48" s="13"/>
      <c r="D48" s="13"/>
      <c r="F48" s="13"/>
      <c r="G48" s="13"/>
      <c r="H48" s="13"/>
      <c r="I48" s="13"/>
      <c r="J48" s="13"/>
      <c r="K48" s="23"/>
    </row>
    <row r="49" spans="1:11" x14ac:dyDescent="0.25">
      <c r="B49" s="13"/>
      <c r="C49" s="13"/>
      <c r="D49" s="13"/>
      <c r="F49" s="13"/>
      <c r="G49" s="13"/>
      <c r="H49" s="13"/>
      <c r="I49" s="13"/>
      <c r="J49" s="13"/>
      <c r="K49" s="23"/>
    </row>
    <row r="50" spans="1:11" x14ac:dyDescent="0.25">
      <c r="B50" s="13"/>
      <c r="C50" s="13"/>
      <c r="D50" s="13"/>
      <c r="F50" s="13"/>
      <c r="G50" s="13"/>
      <c r="H50" s="13"/>
      <c r="I50" s="13"/>
      <c r="J50" s="13"/>
      <c r="K50" s="23"/>
    </row>
    <row r="51" spans="1:11" x14ac:dyDescent="0.25">
      <c r="B51" s="13"/>
      <c r="C51" s="13"/>
      <c r="D51" s="13"/>
      <c r="F51" s="13"/>
      <c r="G51" s="13"/>
      <c r="H51" s="13"/>
      <c r="I51" s="13"/>
      <c r="J51" s="13"/>
      <c r="K51" s="23"/>
    </row>
    <row r="52" spans="1:11" s="1" customFormat="1" x14ac:dyDescent="0.25">
      <c r="B52" s="26"/>
      <c r="C52" s="26"/>
      <c r="D52" s="26"/>
      <c r="F52" s="26"/>
      <c r="G52" s="26"/>
      <c r="H52" s="26"/>
      <c r="I52" s="26"/>
      <c r="J52" s="26"/>
      <c r="K52" s="25"/>
    </row>
    <row r="53" spans="1:11" s="1" customFormat="1" x14ac:dyDescent="0.25">
      <c r="B53" s="13"/>
      <c r="C53" s="13"/>
      <c r="D53" s="26"/>
      <c r="E53"/>
      <c r="F53" s="13"/>
      <c r="G53" s="13"/>
      <c r="H53" s="13"/>
      <c r="I53" s="13"/>
      <c r="J53" s="13"/>
      <c r="K53" s="26"/>
    </row>
    <row r="54" spans="1:11" s="1" customFormat="1" x14ac:dyDescent="0.25">
      <c r="B54" s="26"/>
      <c r="C54" s="26"/>
      <c r="D54" s="26"/>
      <c r="F54" s="26"/>
      <c r="G54" s="26"/>
      <c r="H54" s="26"/>
      <c r="I54" s="26"/>
      <c r="J54" s="26"/>
      <c r="K54" s="25"/>
    </row>
    <row r="55" spans="1:11" s="1" customFormat="1" x14ac:dyDescent="0.25">
      <c r="B55" s="13"/>
      <c r="C55" s="13"/>
      <c r="D55" s="13"/>
      <c r="E55"/>
      <c r="F55"/>
      <c r="G55"/>
      <c r="H55"/>
      <c r="I55"/>
      <c r="J55"/>
      <c r="K55" s="26"/>
    </row>
    <row r="56" spans="1:11" s="1" customFormat="1" x14ac:dyDescent="0.25">
      <c r="B56" s="20"/>
      <c r="C56" s="20"/>
      <c r="D56" s="20"/>
      <c r="F56" s="20"/>
      <c r="G56" s="20"/>
      <c r="H56" s="20"/>
      <c r="I56" s="20"/>
      <c r="J56" s="20"/>
      <c r="K56" s="34"/>
    </row>
    <row r="57" spans="1:11" x14ac:dyDescent="0.25">
      <c r="B57" s="29"/>
      <c r="C57" s="29"/>
      <c r="D57" s="29"/>
      <c r="E57" s="29"/>
      <c r="F57" s="13"/>
      <c r="G57" s="29"/>
      <c r="H57" s="29"/>
      <c r="I57" s="29"/>
    </row>
    <row r="58" spans="1:11" ht="13.8" x14ac:dyDescent="0.3">
      <c r="A58" s="15"/>
      <c r="B58" s="33"/>
      <c r="C58" s="13"/>
      <c r="D58" s="13"/>
      <c r="E58" s="13"/>
      <c r="F58" s="13"/>
      <c r="G58" s="13"/>
      <c r="H58" s="13"/>
      <c r="I58" s="13"/>
    </row>
    <row r="59" spans="1:11" x14ac:dyDescent="0.25">
      <c r="A59" s="15"/>
    </row>
    <row r="60" spans="1:11" x14ac:dyDescent="0.25">
      <c r="A60" s="15"/>
      <c r="B60" s="29"/>
    </row>
    <row r="61" spans="1:11" x14ac:dyDescent="0.25">
      <c r="A61" s="15"/>
    </row>
    <row r="62" spans="1:11" x14ac:dyDescent="0.25">
      <c r="A62" s="15"/>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0"/>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customWidth="1"/>
    <col min="4" max="4" width="11.109375" style="2" customWidth="1"/>
    <col min="5" max="5" width="21" style="2" customWidth="1"/>
    <col min="6" max="6" width="15.44140625" style="6" customWidth="1"/>
  </cols>
  <sheetData>
    <row r="3" spans="1:6" x14ac:dyDescent="0.25">
      <c r="D3" s="5"/>
      <c r="E3" s="5"/>
    </row>
    <row r="6" spans="1:6" s="1" customFormat="1" x14ac:dyDescent="0.25">
      <c r="D6" s="5"/>
      <c r="E6" s="5"/>
      <c r="F6" s="7"/>
    </row>
    <row r="7" spans="1:6" s="1" customFormat="1" x14ac:dyDescent="0.25">
      <c r="D7" s="5"/>
      <c r="E7" s="5"/>
      <c r="F7" s="7"/>
    </row>
    <row r="8" spans="1:6" s="1" customFormat="1" x14ac:dyDescent="0.25">
      <c r="D8" s="5"/>
      <c r="E8" s="5"/>
      <c r="F8" s="7"/>
    </row>
    <row r="9" spans="1:6" s="1" customFormat="1" x14ac:dyDescent="0.25">
      <c r="D9" s="5"/>
      <c r="E9" s="5"/>
      <c r="F9" s="7"/>
    </row>
    <row r="10" spans="1:6" s="1" customFormat="1" x14ac:dyDescent="0.25">
      <c r="A10" s="53"/>
      <c r="B10" s="53"/>
      <c r="C10" s="53"/>
      <c r="D10" s="54"/>
      <c r="E10" s="54"/>
      <c r="F10" s="55"/>
    </row>
    <row r="11" spans="1:6" x14ac:dyDescent="0.25">
      <c r="C11" s="2"/>
    </row>
    <row r="12" spans="1:6" x14ac:dyDescent="0.25">
      <c r="C12" s="2"/>
    </row>
    <row r="13" spans="1:6" x14ac:dyDescent="0.25">
      <c r="C13" s="2"/>
    </row>
    <row r="14" spans="1:6" x14ac:dyDescent="0.25">
      <c r="C14" s="2"/>
    </row>
    <row r="15" spans="1:6" x14ac:dyDescent="0.25">
      <c r="C15" s="2"/>
    </row>
    <row r="16" spans="1:6" x14ac:dyDescent="0.25">
      <c r="C16" s="2"/>
    </row>
    <row r="17" spans="3:6" x14ac:dyDescent="0.25">
      <c r="C17" s="2"/>
    </row>
    <row r="18" spans="3:6" s="1" customFormat="1" x14ac:dyDescent="0.25">
      <c r="C18" s="2"/>
      <c r="D18" s="2"/>
      <c r="E18" s="2"/>
      <c r="F18" s="7"/>
    </row>
    <row r="19" spans="3:6" x14ac:dyDescent="0.25">
      <c r="C19" s="2"/>
    </row>
    <row r="20" spans="3:6" x14ac:dyDescent="0.25">
      <c r="C20" s="2"/>
    </row>
    <row r="21" spans="3:6" x14ac:dyDescent="0.25">
      <c r="C21" s="2"/>
    </row>
    <row r="22" spans="3:6" x14ac:dyDescent="0.25">
      <c r="C22" s="2"/>
    </row>
    <row r="23" spans="3:6" x14ac:dyDescent="0.25">
      <c r="C23" s="2"/>
    </row>
    <row r="24" spans="3:6" x14ac:dyDescent="0.25">
      <c r="C24" s="2"/>
    </row>
    <row r="25" spans="3:6" x14ac:dyDescent="0.25">
      <c r="C25" s="2"/>
    </row>
    <row r="26" spans="3:6" x14ac:dyDescent="0.25">
      <c r="C26" s="2"/>
    </row>
    <row r="27" spans="3:6" x14ac:dyDescent="0.25">
      <c r="C27" s="2"/>
    </row>
    <row r="28" spans="3:6" s="1" customFormat="1" x14ac:dyDescent="0.25">
      <c r="C28" s="2"/>
      <c r="D28" s="2"/>
      <c r="E28" s="2"/>
      <c r="F28" s="7"/>
    </row>
    <row r="29" spans="3:6" x14ac:dyDescent="0.25">
      <c r="C29" s="2"/>
    </row>
    <row r="30" spans="3:6" x14ac:dyDescent="0.25">
      <c r="C30" s="2"/>
    </row>
    <row r="31" spans="3:6" x14ac:dyDescent="0.25">
      <c r="C31" s="2"/>
    </row>
    <row r="32" spans="3:6" x14ac:dyDescent="0.25">
      <c r="C32" s="2"/>
    </row>
    <row r="33" spans="3:6" x14ac:dyDescent="0.25">
      <c r="C33" s="2"/>
    </row>
    <row r="34" spans="3:6" x14ac:dyDescent="0.25">
      <c r="C34" s="2"/>
    </row>
    <row r="35" spans="3:6" x14ac:dyDescent="0.25">
      <c r="C35" s="2"/>
    </row>
    <row r="36" spans="3:6" x14ac:dyDescent="0.25">
      <c r="C36" s="2"/>
    </row>
    <row r="37" spans="3:6" x14ac:dyDescent="0.25">
      <c r="C37" s="2"/>
    </row>
    <row r="38" spans="3:6" x14ac:dyDescent="0.25">
      <c r="C38" s="2"/>
    </row>
    <row r="39" spans="3:6" s="1" customFormat="1" x14ac:dyDescent="0.25">
      <c r="C39" s="2"/>
      <c r="D39" s="2"/>
      <c r="E39" s="2"/>
      <c r="F39" s="7"/>
    </row>
    <row r="40" spans="3:6" x14ac:dyDescent="0.25">
      <c r="C40" s="2"/>
    </row>
    <row r="41" spans="3:6" x14ac:dyDescent="0.25">
      <c r="C41" s="2"/>
    </row>
    <row r="42" spans="3:6" x14ac:dyDescent="0.25">
      <c r="C42" s="2"/>
    </row>
    <row r="43" spans="3:6" x14ac:dyDescent="0.25">
      <c r="C43" s="2"/>
    </row>
    <row r="44" spans="3:6" x14ac:dyDescent="0.25">
      <c r="C44" s="2"/>
    </row>
    <row r="45" spans="3:6" x14ac:dyDescent="0.25">
      <c r="C45" s="2"/>
    </row>
    <row r="46" spans="3:6" x14ac:dyDescent="0.25">
      <c r="C46" s="2"/>
    </row>
    <row r="47" spans="3:6" x14ac:dyDescent="0.25">
      <c r="C47" s="2"/>
    </row>
    <row r="48" spans="3:6" x14ac:dyDescent="0.25">
      <c r="C48" s="2"/>
    </row>
    <row r="49" spans="1:6" s="1" customFormat="1" x14ac:dyDescent="0.25">
      <c r="C49" s="5"/>
      <c r="D49" s="5"/>
      <c r="E49" s="5"/>
      <c r="F49" s="7"/>
    </row>
    <row r="50" spans="1:6" s="1" customFormat="1" x14ac:dyDescent="0.25">
      <c r="A50"/>
      <c r="B50"/>
      <c r="C50" s="2"/>
      <c r="D50" s="2"/>
      <c r="E50" s="2"/>
      <c r="F50" s="6"/>
    </row>
    <row r="51" spans="1:6" x14ac:dyDescent="0.25">
      <c r="C51" s="2"/>
    </row>
    <row r="52" spans="1:6" x14ac:dyDescent="0.25">
      <c r="C52" s="2"/>
    </row>
    <row r="53" spans="1:6" s="1" customFormat="1" x14ac:dyDescent="0.25">
      <c r="C53" s="5"/>
      <c r="D53" s="5"/>
      <c r="E53" s="5"/>
      <c r="F53" s="7"/>
    </row>
    <row r="54" spans="1:6" s="1" customFormat="1" x14ac:dyDescent="0.25">
      <c r="A54"/>
      <c r="B54"/>
      <c r="C54" s="2"/>
      <c r="D54" s="2"/>
      <c r="E54" s="2"/>
      <c r="F54" s="6"/>
    </row>
    <row r="55" spans="1:6" x14ac:dyDescent="0.25">
      <c r="C55" s="2"/>
    </row>
    <row r="56" spans="1:6" x14ac:dyDescent="0.25">
      <c r="C56" s="2"/>
    </row>
    <row r="57" spans="1:6" x14ac:dyDescent="0.25">
      <c r="C57" s="2"/>
    </row>
    <row r="59" spans="1:6" x14ac:dyDescent="0.25">
      <c r="A59" s="15"/>
    </row>
    <row r="60" spans="1:6" x14ac:dyDescent="0.25">
      <c r="A60" s="15"/>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bestFit="1" customWidth="1"/>
    <col min="2" max="2" width="18.5546875" style="13" bestFit="1" customWidth="1"/>
    <col min="3" max="3" width="16" bestFit="1" customWidth="1"/>
    <col min="4" max="6" width="12.88671875" bestFit="1" customWidth="1"/>
    <col min="7" max="7" width="34" bestFit="1" customWidth="1"/>
    <col min="8" max="8" width="33" customWidth="1"/>
    <col min="9" max="9" width="30" bestFit="1" customWidth="1"/>
    <col min="10" max="10" width="19" bestFit="1" customWidth="1"/>
    <col min="11" max="11" width="18.44140625" bestFit="1" customWidth="1"/>
    <col min="12" max="12" width="18.44140625" customWidth="1"/>
    <col min="13" max="13" width="12.88671875" bestFit="1" customWidth="1"/>
  </cols>
  <sheetData>
    <row r="1" spans="1:16" ht="12.75" customHeight="1" x14ac:dyDescent="0.25"/>
    <row r="2" spans="1:16" ht="12.75" customHeight="1" x14ac:dyDescent="0.25"/>
    <row r="3" spans="1:16" s="1" customFormat="1" ht="12.75" customHeight="1" x14ac:dyDescent="0.25">
      <c r="B3" s="26"/>
      <c r="D3" s="21"/>
      <c r="F3" s="21"/>
      <c r="M3" s="17"/>
      <c r="N3"/>
      <c r="O3"/>
      <c r="P3"/>
    </row>
    <row r="4" spans="1:16" s="1" customFormat="1" ht="12.75" customHeight="1" x14ac:dyDescent="0.25">
      <c r="B4" s="26"/>
      <c r="D4" s="21"/>
      <c r="F4" s="21"/>
      <c r="H4"/>
      <c r="M4" s="17"/>
      <c r="N4"/>
      <c r="O4"/>
      <c r="P4"/>
    </row>
    <row r="5" spans="1:16" s="1" customFormat="1" ht="12.75" customHeight="1" x14ac:dyDescent="0.25">
      <c r="B5" s="41"/>
      <c r="C5" s="41"/>
      <c r="D5" s="21"/>
      <c r="E5" s="41"/>
      <c r="F5" s="21"/>
      <c r="H5"/>
      <c r="I5"/>
      <c r="J5"/>
      <c r="K5"/>
      <c r="L5"/>
      <c r="M5" s="17"/>
    </row>
    <row r="6" spans="1:16" s="1" customFormat="1" ht="12.75" customHeight="1" x14ac:dyDescent="0.25">
      <c r="B6" s="26"/>
      <c r="C6" s="26"/>
      <c r="E6" s="26"/>
      <c r="G6" s="13"/>
      <c r="H6" s="13"/>
      <c r="I6" s="13"/>
      <c r="J6" s="13"/>
      <c r="K6"/>
      <c r="L6"/>
      <c r="M6" s="17"/>
      <c r="N6"/>
      <c r="O6"/>
      <c r="P6"/>
    </row>
    <row r="7" spans="1:16" s="1" customFormat="1" ht="12.75" customHeight="1" x14ac:dyDescent="0.25">
      <c r="A7"/>
      <c r="B7" s="13"/>
      <c r="C7" s="13"/>
      <c r="D7"/>
      <c r="E7" s="13"/>
      <c r="F7"/>
      <c r="G7" s="13"/>
      <c r="H7" s="13"/>
      <c r="I7" s="13"/>
      <c r="J7" s="13"/>
      <c r="K7"/>
      <c r="L7"/>
      <c r="M7" s="17"/>
      <c r="N7"/>
      <c r="O7"/>
      <c r="P7"/>
    </row>
    <row r="8" spans="1:16" ht="12.75" customHeight="1" x14ac:dyDescent="0.25">
      <c r="C8" s="13"/>
      <c r="E8" s="13"/>
      <c r="G8" s="13"/>
      <c r="H8" s="13"/>
      <c r="I8" s="13"/>
      <c r="J8" s="13"/>
      <c r="K8" s="1"/>
      <c r="L8" s="1"/>
      <c r="M8" s="1"/>
      <c r="N8" s="1"/>
      <c r="O8" s="1"/>
      <c r="P8" s="1"/>
    </row>
    <row r="9" spans="1:16" ht="12.75" customHeight="1" x14ac:dyDescent="0.25">
      <c r="C9" s="13"/>
      <c r="E9" s="13"/>
      <c r="G9" s="13"/>
      <c r="H9" s="13"/>
      <c r="I9" s="13"/>
      <c r="J9" s="13"/>
    </row>
    <row r="10" spans="1:16" ht="12.75" customHeight="1" x14ac:dyDescent="0.25">
      <c r="C10" s="13"/>
      <c r="E10" s="13"/>
      <c r="G10" s="13"/>
      <c r="H10" s="13"/>
      <c r="I10" s="13"/>
      <c r="J10" s="13"/>
    </row>
    <row r="11" spans="1:16" ht="12.75" customHeight="1" x14ac:dyDescent="0.25">
      <c r="C11" s="13"/>
      <c r="E11" s="13"/>
      <c r="G11" s="13"/>
      <c r="H11" s="13"/>
      <c r="I11" s="13"/>
      <c r="J11" s="13"/>
    </row>
    <row r="12" spans="1:16" ht="12.75" customHeight="1" x14ac:dyDescent="0.25">
      <c r="C12" s="13"/>
      <c r="E12" s="13"/>
      <c r="G12" s="13"/>
      <c r="H12" s="13"/>
      <c r="I12" s="13"/>
      <c r="J12" s="13"/>
    </row>
    <row r="13" spans="1:16" ht="12.75" customHeight="1" x14ac:dyDescent="0.25">
      <c r="C13" s="13"/>
      <c r="E13" s="13"/>
      <c r="G13" s="13"/>
      <c r="H13" s="13"/>
      <c r="I13" s="13"/>
      <c r="J13" s="13"/>
      <c r="K13" s="1"/>
      <c r="L13" s="1"/>
      <c r="M13" s="17"/>
    </row>
    <row r="14" spans="1:16" ht="12.75" customHeight="1" x14ac:dyDescent="0.25">
      <c r="C14" s="13"/>
      <c r="E14" s="13"/>
      <c r="G14" s="13"/>
      <c r="H14" s="13"/>
      <c r="I14" s="13"/>
      <c r="J14" s="13"/>
      <c r="K14" s="1"/>
      <c r="L14" s="1"/>
      <c r="M14" s="17"/>
    </row>
    <row r="15" spans="1:16" s="1" customFormat="1" ht="12.75" customHeight="1" x14ac:dyDescent="0.25">
      <c r="B15" s="26"/>
      <c r="C15" s="26"/>
      <c r="E15" s="26"/>
      <c r="G15" s="13"/>
      <c r="H15" s="13"/>
      <c r="I15" s="13"/>
      <c r="J15" s="13"/>
      <c r="K15"/>
      <c r="L15"/>
      <c r="M15" s="17"/>
    </row>
    <row r="16" spans="1:16" ht="12.75" customHeight="1" x14ac:dyDescent="0.25">
      <c r="C16" s="13"/>
      <c r="E16" s="13"/>
      <c r="G16" s="13"/>
      <c r="H16" s="13"/>
      <c r="I16" s="13"/>
      <c r="J16" s="13"/>
      <c r="M16" s="17"/>
    </row>
    <row r="17" spans="2:15" s="1" customFormat="1" ht="12.75" customHeight="1" x14ac:dyDescent="0.3">
      <c r="B17" s="26"/>
      <c r="C17" s="26"/>
      <c r="D17"/>
      <c r="E17" s="26"/>
      <c r="G17" s="42"/>
      <c r="H17" s="13"/>
      <c r="I17" s="42"/>
    </row>
    <row r="18" spans="2:15" ht="12.75" customHeight="1" x14ac:dyDescent="0.3">
      <c r="B18" s="48"/>
      <c r="C18" s="48"/>
      <c r="E18" s="13"/>
      <c r="G18" s="42"/>
      <c r="H18" s="37"/>
      <c r="I18" s="42"/>
    </row>
    <row r="19" spans="2:15" ht="12.75" customHeight="1" x14ac:dyDescent="0.3">
      <c r="B19" s="48"/>
      <c r="C19" s="48"/>
      <c r="E19" s="13"/>
      <c r="G19" s="42"/>
      <c r="H19" s="38"/>
      <c r="I19" s="42"/>
    </row>
    <row r="20" spans="2:15" ht="12.75" customHeight="1" x14ac:dyDescent="0.3">
      <c r="B20" s="48"/>
      <c r="C20" s="48"/>
      <c r="E20" s="13"/>
      <c r="G20" s="42"/>
      <c r="H20" s="38"/>
      <c r="I20" s="42"/>
    </row>
    <row r="21" spans="2:15" ht="12.75" customHeight="1" x14ac:dyDescent="0.3">
      <c r="C21" s="13"/>
      <c r="E21" s="13"/>
      <c r="G21" s="42"/>
      <c r="H21" s="38"/>
      <c r="I21" s="42"/>
    </row>
    <row r="22" spans="2:15" s="1" customFormat="1" ht="12.75" customHeight="1" x14ac:dyDescent="0.3">
      <c r="B22" s="26"/>
      <c r="C22" s="26"/>
      <c r="E22" s="26"/>
      <c r="G22" s="42"/>
      <c r="H22" s="37"/>
      <c r="I22" s="42"/>
    </row>
    <row r="23" spans="2:15" ht="12.75" customHeight="1" x14ac:dyDescent="0.25">
      <c r="C23" s="13"/>
      <c r="E23" s="13"/>
      <c r="H23" s="13"/>
      <c r="I23" s="13"/>
      <c r="J23" s="1"/>
      <c r="K23" s="1"/>
      <c r="L23" s="1"/>
      <c r="M23" s="1"/>
      <c r="N23" s="1"/>
    </row>
    <row r="24" spans="2:15" s="1" customFormat="1" ht="12.75" customHeight="1" x14ac:dyDescent="0.25">
      <c r="B24" s="13"/>
      <c r="C24" s="13"/>
      <c r="D24"/>
      <c r="E24" s="13"/>
      <c r="F24"/>
      <c r="G24" s="35"/>
      <c r="H24" s="37"/>
      <c r="I24" s="38"/>
      <c r="J24"/>
      <c r="K24"/>
      <c r="L24"/>
      <c r="M24"/>
      <c r="N24"/>
      <c r="O24" s="19"/>
    </row>
    <row r="25" spans="2:15" ht="12.75" customHeight="1" x14ac:dyDescent="0.25">
      <c r="B25" s="43"/>
      <c r="C25" s="43"/>
      <c r="E25" s="43"/>
      <c r="G25" s="44"/>
      <c r="H25" s="38"/>
      <c r="I25" s="38"/>
      <c r="O25" s="19"/>
    </row>
    <row r="26" spans="2:15" ht="12.75" customHeight="1" x14ac:dyDescent="0.3">
      <c r="B26" s="43"/>
      <c r="C26" s="43"/>
      <c r="E26" s="43"/>
      <c r="G26" s="42"/>
      <c r="H26" s="38"/>
      <c r="I26" s="42"/>
      <c r="O26" s="19"/>
    </row>
    <row r="27" spans="2:15" ht="12.75" customHeight="1" x14ac:dyDescent="0.3">
      <c r="B27" s="43"/>
      <c r="C27" s="43"/>
      <c r="E27" s="43"/>
      <c r="G27" s="42"/>
      <c r="H27" s="38"/>
      <c r="I27" s="42"/>
      <c r="O27" s="19"/>
    </row>
    <row r="28" spans="2:15" ht="12.75" customHeight="1" x14ac:dyDescent="0.3">
      <c r="B28" s="43"/>
      <c r="C28" s="43"/>
      <c r="E28" s="43"/>
      <c r="G28" s="42"/>
      <c r="H28" s="38"/>
      <c r="I28" s="42"/>
      <c r="O28" s="19"/>
    </row>
    <row r="29" spans="2:15" ht="12.75" customHeight="1" x14ac:dyDescent="0.3">
      <c r="B29" s="43"/>
      <c r="C29" s="43"/>
      <c r="E29" s="43"/>
      <c r="G29" s="42"/>
      <c r="H29" s="38"/>
      <c r="I29" s="42"/>
      <c r="J29" s="1"/>
      <c r="K29" s="1"/>
      <c r="L29" s="1"/>
      <c r="M29" s="1"/>
      <c r="N29" s="1"/>
      <c r="O29" s="11"/>
    </row>
    <row r="30" spans="2:15" ht="12.75" customHeight="1" x14ac:dyDescent="0.3">
      <c r="B30" s="43"/>
      <c r="C30" s="43"/>
      <c r="E30" s="43"/>
      <c r="G30" s="42"/>
      <c r="H30" s="38"/>
      <c r="I30" s="42"/>
      <c r="J30" s="1"/>
      <c r="K30" s="1"/>
      <c r="L30" s="1"/>
      <c r="M30" s="1"/>
      <c r="N30" s="1"/>
    </row>
    <row r="31" spans="2:15" ht="12.75" customHeight="1" x14ac:dyDescent="0.3">
      <c r="B31" s="43"/>
      <c r="C31" s="43"/>
      <c r="E31" s="43"/>
      <c r="G31" s="42"/>
      <c r="H31" s="38"/>
      <c r="I31" s="42"/>
      <c r="O31" s="19"/>
    </row>
    <row r="32" spans="2:15" ht="12.75" customHeight="1" x14ac:dyDescent="0.3">
      <c r="B32" s="43"/>
      <c r="C32" s="43"/>
      <c r="E32" s="43"/>
      <c r="G32" s="42"/>
      <c r="H32" s="38"/>
      <c r="I32" s="42"/>
      <c r="O32" s="19"/>
    </row>
    <row r="33" spans="2:15" s="1" customFormat="1" ht="12.75" customHeight="1" x14ac:dyDescent="0.3">
      <c r="B33" s="26"/>
      <c r="C33" s="26"/>
      <c r="E33" s="26"/>
      <c r="F33"/>
      <c r="G33" s="42"/>
      <c r="H33" s="37"/>
      <c r="I33" s="42"/>
      <c r="J33"/>
      <c r="K33"/>
      <c r="L33"/>
      <c r="M33"/>
      <c r="N33"/>
      <c r="O33" s="19"/>
    </row>
    <row r="34" spans="2:15" ht="12.75" customHeight="1" x14ac:dyDescent="0.3">
      <c r="C34" s="13"/>
      <c r="E34" s="13"/>
      <c r="G34" s="42"/>
      <c r="H34" s="13"/>
      <c r="I34" s="42"/>
    </row>
    <row r="35" spans="2:15" s="1" customFormat="1" ht="12.75" customHeight="1" x14ac:dyDescent="0.3">
      <c r="B35" s="26"/>
      <c r="C35" s="26"/>
      <c r="D35"/>
      <c r="E35" s="26"/>
      <c r="F35"/>
      <c r="G35" s="42"/>
      <c r="H35" s="37"/>
      <c r="I35" s="42"/>
    </row>
    <row r="36" spans="2:15" ht="12.75" customHeight="1" x14ac:dyDescent="0.3">
      <c r="B36" s="48"/>
      <c r="C36" s="48"/>
      <c r="E36" s="13"/>
      <c r="G36" s="42"/>
      <c r="H36" s="38"/>
      <c r="I36" s="42"/>
    </row>
    <row r="37" spans="2:15" ht="12.75" customHeight="1" x14ac:dyDescent="0.3">
      <c r="B37" s="48"/>
      <c r="C37" s="48"/>
      <c r="E37" s="13"/>
      <c r="G37" s="42"/>
      <c r="H37" s="38"/>
      <c r="I37" s="42"/>
    </row>
    <row r="38" spans="2:15" ht="12.75" customHeight="1" x14ac:dyDescent="0.3">
      <c r="B38" s="48"/>
      <c r="C38" s="48"/>
      <c r="E38" s="13"/>
      <c r="G38" s="42"/>
      <c r="H38" s="38"/>
      <c r="I38" s="42"/>
    </row>
    <row r="39" spans="2:15" ht="12.75" customHeight="1" x14ac:dyDescent="0.3">
      <c r="C39" s="13"/>
      <c r="E39" s="13"/>
      <c r="G39" s="42"/>
      <c r="H39" s="37"/>
      <c r="I39" s="42"/>
    </row>
    <row r="40" spans="2:15" s="1" customFormat="1" ht="12.75" customHeight="1" x14ac:dyDescent="0.3">
      <c r="B40" s="26"/>
      <c r="C40" s="26"/>
      <c r="E40" s="26"/>
      <c r="G40" s="42"/>
      <c r="H40" s="38"/>
      <c r="I40" s="42"/>
    </row>
    <row r="41" spans="2:15" ht="12.75" customHeight="1" x14ac:dyDescent="0.25">
      <c r="C41" s="13"/>
      <c r="E41" s="13"/>
      <c r="G41" s="35"/>
      <c r="H41" s="37"/>
      <c r="I41" s="38"/>
    </row>
    <row r="42" spans="2:15" s="1" customFormat="1" ht="12.75" customHeight="1" x14ac:dyDescent="0.3">
      <c r="B42" s="26"/>
      <c r="C42" s="26"/>
      <c r="D42"/>
      <c r="E42" s="26"/>
      <c r="F42"/>
      <c r="G42" s="42"/>
      <c r="H42" s="42"/>
      <c r="I42" s="42"/>
    </row>
    <row r="43" spans="2:15" ht="12.75" customHeight="1" x14ac:dyDescent="0.3">
      <c r="B43" s="48"/>
      <c r="C43" s="48"/>
      <c r="E43" s="43"/>
      <c r="G43" s="42"/>
      <c r="H43" s="42"/>
      <c r="I43" s="42"/>
    </row>
    <row r="44" spans="2:15" ht="12.75" customHeight="1" x14ac:dyDescent="0.3">
      <c r="B44" s="48"/>
      <c r="C44" s="48"/>
      <c r="E44" s="43"/>
      <c r="G44" s="42"/>
      <c r="H44" s="42"/>
      <c r="I44" s="42"/>
      <c r="J44" s="45"/>
      <c r="K44" s="45"/>
      <c r="L44" s="45"/>
    </row>
    <row r="45" spans="2:15" ht="12.75" customHeight="1" x14ac:dyDescent="0.3">
      <c r="B45" s="48"/>
      <c r="C45" s="48"/>
      <c r="E45" s="43"/>
      <c r="G45" s="42"/>
      <c r="H45" s="42"/>
      <c r="I45" s="42"/>
      <c r="J45" s="45"/>
      <c r="K45" s="42"/>
      <c r="L45" s="42"/>
    </row>
    <row r="46" spans="2:15" ht="12.75" customHeight="1" x14ac:dyDescent="0.3">
      <c r="B46" s="48"/>
      <c r="C46" s="48"/>
      <c r="E46" s="43"/>
      <c r="G46" s="42"/>
      <c r="H46" s="42"/>
      <c r="I46" s="42"/>
      <c r="J46" s="45"/>
      <c r="K46" s="42"/>
      <c r="L46" s="42"/>
    </row>
    <row r="47" spans="2:15" ht="12.75" customHeight="1" x14ac:dyDescent="0.3">
      <c r="B47" s="48"/>
      <c r="C47" s="48"/>
      <c r="E47" s="43"/>
      <c r="G47" s="42"/>
      <c r="H47" s="42"/>
      <c r="I47" s="42"/>
      <c r="J47" s="45"/>
      <c r="K47" s="42"/>
      <c r="L47" s="42"/>
    </row>
    <row r="48" spans="2:15" ht="12.75" customHeight="1" x14ac:dyDescent="0.3">
      <c r="B48" s="48"/>
      <c r="C48" s="48"/>
      <c r="E48" s="43"/>
      <c r="G48" s="42"/>
      <c r="H48" s="42"/>
      <c r="I48" s="42"/>
      <c r="J48" s="45"/>
      <c r="K48" s="42"/>
      <c r="L48" s="42"/>
    </row>
    <row r="49" spans="2:12" ht="12.75" customHeight="1" x14ac:dyDescent="0.3">
      <c r="B49" s="48"/>
      <c r="C49" s="48"/>
      <c r="E49" s="43"/>
      <c r="G49" s="42"/>
      <c r="H49" s="42"/>
      <c r="I49" s="42"/>
      <c r="J49" s="45"/>
      <c r="K49" s="42"/>
      <c r="L49" s="42"/>
    </row>
    <row r="50" spans="2:12" ht="12.75" customHeight="1" x14ac:dyDescent="0.3">
      <c r="B50" s="48"/>
      <c r="C50" s="48"/>
      <c r="E50" s="43"/>
      <c r="G50" s="42"/>
      <c r="H50" s="42"/>
      <c r="I50" s="42"/>
      <c r="J50" s="45"/>
      <c r="K50" s="42"/>
      <c r="L50" s="42"/>
    </row>
    <row r="51" spans="2:12" s="1" customFormat="1" ht="12.75" customHeight="1" x14ac:dyDescent="0.3">
      <c r="B51" s="26"/>
      <c r="C51" s="26"/>
      <c r="E51" s="26"/>
      <c r="G51" s="42"/>
      <c r="H51" s="42"/>
      <c r="I51" s="42"/>
      <c r="J51" s="45"/>
      <c r="K51" s="42"/>
      <c r="L51" s="42"/>
    </row>
    <row r="52" spans="2:12" ht="12.75" customHeight="1" x14ac:dyDescent="0.3">
      <c r="C52" s="13"/>
      <c r="E52" s="13"/>
      <c r="G52" s="35"/>
      <c r="H52" s="37"/>
      <c r="I52" s="37"/>
      <c r="J52" s="45"/>
      <c r="K52" s="42"/>
      <c r="L52" s="42"/>
    </row>
    <row r="53" spans="2:12" s="1" customFormat="1" ht="12.75" customHeight="1" x14ac:dyDescent="0.3">
      <c r="B53" s="26"/>
      <c r="C53" s="26"/>
      <c r="D53"/>
      <c r="E53" s="26"/>
      <c r="F53"/>
      <c r="G53" s="42"/>
      <c r="H53" s="38"/>
      <c r="I53" s="42"/>
    </row>
    <row r="54" spans="2:12" ht="12.75" customHeight="1" x14ac:dyDescent="0.3">
      <c r="B54" s="48"/>
      <c r="C54" s="48"/>
      <c r="E54" s="13"/>
      <c r="G54" s="42"/>
      <c r="H54" s="38"/>
      <c r="I54" s="42"/>
      <c r="J54" s="17"/>
    </row>
    <row r="55" spans="2:12" ht="12.75" customHeight="1" x14ac:dyDescent="0.3">
      <c r="B55" s="48"/>
      <c r="C55" s="48"/>
      <c r="E55" s="13"/>
      <c r="G55" s="42"/>
      <c r="H55" s="38"/>
      <c r="I55" s="42"/>
      <c r="J55" s="17"/>
    </row>
    <row r="56" spans="2:12" ht="12.75" customHeight="1" x14ac:dyDescent="0.3">
      <c r="B56" s="48"/>
      <c r="C56" s="48"/>
      <c r="E56" s="13"/>
      <c r="G56" s="42"/>
      <c r="H56" s="37"/>
      <c r="I56" s="42"/>
      <c r="J56" s="17"/>
    </row>
    <row r="57" spans="2:12" ht="12.75" customHeight="1" x14ac:dyDescent="0.3">
      <c r="C57" s="13"/>
      <c r="E57" s="13"/>
      <c r="G57" s="42"/>
      <c r="H57" s="13"/>
      <c r="I57" s="42"/>
      <c r="J57" s="17"/>
    </row>
    <row r="58" spans="2:12" s="1" customFormat="1" ht="12.75" customHeight="1" x14ac:dyDescent="0.3">
      <c r="B58" s="26"/>
      <c r="C58" s="26"/>
      <c r="E58" s="26"/>
      <c r="G58" s="42"/>
      <c r="H58" s="26"/>
      <c r="I58" s="42"/>
      <c r="J58" s="17"/>
    </row>
    <row r="59" spans="2:12" ht="12.75" customHeight="1" x14ac:dyDescent="0.25">
      <c r="C59" s="13"/>
      <c r="E59" s="13"/>
      <c r="H59" s="13"/>
      <c r="I59" s="13"/>
    </row>
    <row r="60" spans="2:12" s="1" customFormat="1" ht="12.75" customHeight="1" x14ac:dyDescent="0.3">
      <c r="B60" s="26"/>
      <c r="C60" s="26"/>
      <c r="D60"/>
      <c r="E60" s="26"/>
      <c r="F60"/>
      <c r="G60" s="42"/>
      <c r="H60" s="42"/>
      <c r="I60" s="42"/>
    </row>
    <row r="61" spans="2:12" ht="12.75" customHeight="1" x14ac:dyDescent="0.3">
      <c r="B61" s="49"/>
      <c r="C61" s="49"/>
      <c r="E61" s="43"/>
      <c r="G61" s="42"/>
      <c r="H61" s="42"/>
      <c r="I61" s="42"/>
    </row>
    <row r="62" spans="2:12" ht="12.75" customHeight="1" x14ac:dyDescent="0.3">
      <c r="B62" s="49"/>
      <c r="C62" s="49"/>
      <c r="E62" s="43"/>
      <c r="G62" s="42"/>
      <c r="H62" s="42"/>
      <c r="I62" s="42"/>
      <c r="J62" s="42"/>
    </row>
    <row r="63" spans="2:12" ht="12.75" customHeight="1" x14ac:dyDescent="0.3">
      <c r="B63" s="49"/>
      <c r="C63" s="49"/>
      <c r="E63" s="43"/>
      <c r="G63" s="42"/>
      <c r="H63" s="42"/>
      <c r="I63" s="42"/>
      <c r="J63" s="42"/>
    </row>
    <row r="64" spans="2:12" ht="12.75" customHeight="1" x14ac:dyDescent="0.3">
      <c r="B64" s="49"/>
      <c r="C64" s="49"/>
      <c r="E64" s="43"/>
      <c r="G64" s="42"/>
      <c r="H64" s="42"/>
      <c r="I64" s="42"/>
      <c r="J64" s="42"/>
    </row>
    <row r="65" spans="1:10" ht="12.75" customHeight="1" x14ac:dyDescent="0.3">
      <c r="B65" s="49"/>
      <c r="C65" s="49"/>
      <c r="E65" s="43"/>
      <c r="G65" s="42"/>
      <c r="H65" s="42"/>
      <c r="I65" s="42"/>
      <c r="J65" s="42"/>
    </row>
    <row r="66" spans="1:10" ht="12.75" customHeight="1" x14ac:dyDescent="0.3">
      <c r="B66" s="49"/>
      <c r="C66" s="49"/>
      <c r="E66" s="43"/>
      <c r="G66" s="42"/>
      <c r="H66" s="42"/>
      <c r="I66" s="42"/>
      <c r="J66" s="42"/>
    </row>
    <row r="67" spans="1:10" ht="12.75" customHeight="1" x14ac:dyDescent="0.3">
      <c r="B67" s="49"/>
      <c r="C67" s="49"/>
      <c r="E67" s="43"/>
      <c r="G67" s="42"/>
      <c r="H67" s="42"/>
      <c r="I67" s="42"/>
      <c r="J67" s="42"/>
    </row>
    <row r="68" spans="1:10" ht="12.75" customHeight="1" x14ac:dyDescent="0.3">
      <c r="B68" s="49"/>
      <c r="C68" s="49"/>
      <c r="E68" s="43"/>
      <c r="G68" s="42"/>
      <c r="H68" s="42"/>
      <c r="I68" s="42"/>
      <c r="J68" s="42"/>
    </row>
    <row r="69" spans="1:10" ht="12.75" customHeight="1" x14ac:dyDescent="0.3">
      <c r="B69" s="49"/>
      <c r="C69" s="49"/>
      <c r="E69" s="13"/>
      <c r="G69" s="42"/>
      <c r="H69" s="42"/>
      <c r="I69" s="42"/>
      <c r="J69" s="42"/>
    </row>
    <row r="70" spans="1:10" s="1" customFormat="1" ht="12.75" customHeight="1" x14ac:dyDescent="0.3">
      <c r="B70" s="13"/>
      <c r="C70" s="13"/>
      <c r="D70"/>
      <c r="E70" s="13"/>
      <c r="F70"/>
      <c r="G70" s="42"/>
      <c r="H70" s="13"/>
      <c r="I70" s="42"/>
      <c r="J70" s="42"/>
    </row>
    <row r="71" spans="1:10" ht="12.75" customHeight="1" x14ac:dyDescent="0.3">
      <c r="B71" s="49"/>
      <c r="C71" s="49"/>
      <c r="E71" s="13"/>
      <c r="G71" s="42"/>
      <c r="H71" s="13"/>
      <c r="I71" s="42"/>
    </row>
    <row r="72" spans="1:10" ht="12.75" customHeight="1" x14ac:dyDescent="0.3">
      <c r="B72" s="49"/>
      <c r="C72" s="49"/>
      <c r="E72" s="13"/>
      <c r="G72" s="42"/>
      <c r="I72" s="42"/>
    </row>
    <row r="73" spans="1:10" ht="12.75" customHeight="1" x14ac:dyDescent="0.3">
      <c r="B73" s="49"/>
      <c r="C73" s="49"/>
      <c r="E73" s="13"/>
      <c r="G73" s="42"/>
      <c r="I73" s="42"/>
    </row>
    <row r="74" spans="1:10" ht="14.4" x14ac:dyDescent="0.3">
      <c r="A74" s="18"/>
      <c r="C74" s="30"/>
      <c r="D74" s="18"/>
      <c r="E74" s="30"/>
      <c r="F74" s="18"/>
      <c r="G74" s="42"/>
      <c r="I74" s="42"/>
    </row>
    <row r="75" spans="1:10" ht="14.4" x14ac:dyDescent="0.3">
      <c r="C75" s="13"/>
      <c r="E75" s="13"/>
      <c r="G75" s="42"/>
      <c r="I75" s="42"/>
    </row>
    <row r="76" spans="1:10" x14ac:dyDescent="0.25">
      <c r="C76" s="13"/>
      <c r="E76" s="13"/>
    </row>
    <row r="77" spans="1:10" x14ac:dyDescent="0.25">
      <c r="C77" s="13"/>
      <c r="E77" s="13"/>
      <c r="G77" s="1"/>
      <c r="I77" s="26"/>
    </row>
    <row r="78" spans="1:10" x14ac:dyDescent="0.25">
      <c r="C78" s="13"/>
      <c r="E78" s="13"/>
      <c r="G78" s="1"/>
    </row>
    <row r="79" spans="1:10" x14ac:dyDescent="0.25">
      <c r="C79" s="13"/>
      <c r="E79" s="13"/>
      <c r="I79" s="13"/>
    </row>
    <row r="80" spans="1:10" x14ac:dyDescent="0.25">
      <c r="C80" s="13"/>
      <c r="E80" s="13"/>
      <c r="I80" s="13"/>
    </row>
    <row r="81" spans="2:9" x14ac:dyDescent="0.25">
      <c r="B81"/>
      <c r="C81" s="13"/>
      <c r="E81" s="13"/>
      <c r="I81" s="13"/>
    </row>
    <row r="82" spans="2:9" x14ac:dyDescent="0.25">
      <c r="B82"/>
      <c r="C82" s="13"/>
      <c r="E82" s="13"/>
      <c r="I82" s="13"/>
    </row>
    <row r="83" spans="2:9" x14ac:dyDescent="0.25">
      <c r="B83"/>
      <c r="C83" s="13"/>
      <c r="E83" s="13"/>
      <c r="I83" s="13"/>
    </row>
    <row r="84" spans="2:9" x14ac:dyDescent="0.25">
      <c r="B84"/>
      <c r="C84" s="13"/>
      <c r="E84" s="13"/>
      <c r="I84" s="13"/>
    </row>
    <row r="85" spans="2:9" x14ac:dyDescent="0.25">
      <c r="B85"/>
      <c r="C85" s="13"/>
      <c r="E85" s="13"/>
      <c r="I85" s="13"/>
    </row>
    <row r="86" spans="2:9" x14ac:dyDescent="0.25">
      <c r="B86"/>
      <c r="C86" s="13"/>
      <c r="E86" s="13"/>
      <c r="I86" s="13"/>
    </row>
    <row r="87" spans="2:9" x14ac:dyDescent="0.25">
      <c r="B87"/>
      <c r="C87" s="13"/>
      <c r="E87" s="13"/>
      <c r="I87" s="13"/>
    </row>
    <row r="88" spans="2:9" x14ac:dyDescent="0.25">
      <c r="B88"/>
      <c r="C88" s="13"/>
      <c r="E88" s="13"/>
    </row>
    <row r="89" spans="2:9" x14ac:dyDescent="0.25">
      <c r="B89"/>
      <c r="G89" s="1"/>
      <c r="I89" s="26"/>
    </row>
    <row r="90" spans="2:9" x14ac:dyDescent="0.25">
      <c r="B90"/>
      <c r="I90" s="13"/>
    </row>
    <row r="91" spans="2:9" x14ac:dyDescent="0.25">
      <c r="B91"/>
      <c r="I91" s="13"/>
    </row>
    <row r="92" spans="2:9" x14ac:dyDescent="0.25">
      <c r="B92"/>
      <c r="I92" s="13"/>
    </row>
    <row r="93" spans="2:9" x14ac:dyDescent="0.25">
      <c r="B93"/>
      <c r="I93" s="13"/>
    </row>
    <row r="94" spans="2:9" x14ac:dyDescent="0.25">
      <c r="B94"/>
      <c r="I94" s="13"/>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bestFit="1" customWidth="1"/>
    <col min="2" max="3" width="16.88671875" bestFit="1" customWidth="1"/>
    <col min="4" max="4" width="10" customWidth="1"/>
    <col min="5" max="5" width="16.88671875" bestFit="1" customWidth="1"/>
    <col min="6" max="6" width="14.5546875" bestFit="1" customWidth="1"/>
    <col min="8" max="8" width="10.5546875" bestFit="1" customWidth="1"/>
  </cols>
  <sheetData>
    <row r="1" spans="1:8" ht="43.2" x14ac:dyDescent="0.3">
      <c r="B1" s="50">
        <v>42477</v>
      </c>
      <c r="C1" s="50">
        <v>42446</v>
      </c>
      <c r="D1" s="70" t="s">
        <v>170</v>
      </c>
      <c r="E1" s="51">
        <v>42111</v>
      </c>
      <c r="F1" s="71" t="s">
        <v>171</v>
      </c>
      <c r="H1" s="72"/>
    </row>
    <row r="2" spans="1:8" ht="14.4" x14ac:dyDescent="0.3">
      <c r="A2" s="67" t="s">
        <v>107</v>
      </c>
      <c r="B2" s="68"/>
      <c r="C2" s="68"/>
      <c r="D2" s="68"/>
      <c r="E2" s="68"/>
      <c r="F2" s="68"/>
    </row>
    <row r="3" spans="1:8" ht="14.4" x14ac:dyDescent="0.3">
      <c r="A3" s="57" t="s">
        <v>14</v>
      </c>
      <c r="D3" s="58"/>
      <c r="F3" s="58"/>
    </row>
    <row r="4" spans="1:8" x14ac:dyDescent="0.25">
      <c r="A4" t="s">
        <v>123</v>
      </c>
      <c r="B4" s="3">
        <v>775</v>
      </c>
      <c r="C4" s="3">
        <v>559</v>
      </c>
      <c r="D4" s="58">
        <v>38.640429338103758</v>
      </c>
      <c r="E4">
        <v>537</v>
      </c>
      <c r="F4" s="58">
        <v>44.320297951582866</v>
      </c>
    </row>
    <row r="5" spans="1:8" x14ac:dyDescent="0.25">
      <c r="A5" t="s">
        <v>161</v>
      </c>
      <c r="B5" s="3">
        <v>2424</v>
      </c>
      <c r="C5" s="3">
        <v>1494</v>
      </c>
      <c r="D5" s="58">
        <v>62.248995983935743</v>
      </c>
      <c r="E5">
        <v>2069</v>
      </c>
      <c r="F5" s="58">
        <v>17.158047365877234</v>
      </c>
    </row>
    <row r="6" spans="1:8" x14ac:dyDescent="0.25">
      <c r="A6" t="s">
        <v>120</v>
      </c>
      <c r="B6" s="3">
        <v>1979</v>
      </c>
      <c r="C6" s="3">
        <v>1679</v>
      </c>
      <c r="D6" s="58">
        <v>17.867778439547351</v>
      </c>
      <c r="E6">
        <v>1409</v>
      </c>
      <c r="F6" s="58">
        <v>40.454222853087295</v>
      </c>
    </row>
    <row r="7" spans="1:8" x14ac:dyDescent="0.25">
      <c r="A7" t="s">
        <v>121</v>
      </c>
      <c r="B7" s="3">
        <v>12246</v>
      </c>
      <c r="C7" s="3">
        <v>12026</v>
      </c>
      <c r="D7" s="58">
        <v>1.8293696989855315</v>
      </c>
      <c r="E7">
        <v>8208</v>
      </c>
      <c r="F7" s="58">
        <v>49.195906432748536</v>
      </c>
    </row>
    <row r="8" spans="1:8" x14ac:dyDescent="0.25">
      <c r="A8" t="s">
        <v>122</v>
      </c>
      <c r="B8" s="3">
        <v>4639</v>
      </c>
      <c r="C8" s="3">
        <v>4417</v>
      </c>
      <c r="D8" s="58">
        <v>5.0260357708852164</v>
      </c>
      <c r="E8">
        <v>3629</v>
      </c>
      <c r="F8" s="58">
        <v>27.831358500964456</v>
      </c>
    </row>
    <row r="9" spans="1:8" x14ac:dyDescent="0.25">
      <c r="A9" t="s">
        <v>126</v>
      </c>
      <c r="B9" s="3">
        <v>51</v>
      </c>
      <c r="C9" s="3">
        <v>67</v>
      </c>
      <c r="D9" s="58">
        <v>-23.880597014925371</v>
      </c>
      <c r="E9">
        <v>12</v>
      </c>
      <c r="F9" s="58">
        <v>325</v>
      </c>
    </row>
    <row r="10" spans="1:8" x14ac:dyDescent="0.25">
      <c r="A10" t="s">
        <v>163</v>
      </c>
      <c r="B10" s="3">
        <v>8</v>
      </c>
      <c r="C10" s="3">
        <v>24</v>
      </c>
      <c r="D10" s="58">
        <v>-66.666666666666657</v>
      </c>
      <c r="E10">
        <v>12</v>
      </c>
      <c r="F10" s="58">
        <v>-33.333333333333329</v>
      </c>
    </row>
    <row r="11" spans="1:8" x14ac:dyDescent="0.25">
      <c r="A11" t="s">
        <v>127</v>
      </c>
      <c r="B11" s="3">
        <v>46</v>
      </c>
      <c r="C11" s="3">
        <v>63</v>
      </c>
      <c r="D11" s="58">
        <v>-26.984126984126984</v>
      </c>
      <c r="E11">
        <v>52</v>
      </c>
      <c r="F11" s="58">
        <v>-11.538461538461538</v>
      </c>
    </row>
    <row r="12" spans="1:8" ht="14.4" x14ac:dyDescent="0.3">
      <c r="A12" s="59" t="s">
        <v>164</v>
      </c>
      <c r="B12" s="60">
        <f t="shared" ref="B12:C12" si="0">SUM(B4:B11)</f>
        <v>22168</v>
      </c>
      <c r="C12" s="60">
        <f t="shared" si="0"/>
        <v>20329</v>
      </c>
      <c r="D12" s="73">
        <f>((B12/C12)-1)*100</f>
        <v>9.0461901716759385</v>
      </c>
      <c r="E12" s="60">
        <f>SUM(E4:E11)</f>
        <v>15928</v>
      </c>
      <c r="F12" s="73">
        <f>((B12/E12)-1)*100</f>
        <v>39.176293319939724</v>
      </c>
    </row>
    <row r="13" spans="1:8" ht="14.4" x14ac:dyDescent="0.3">
      <c r="A13" s="57" t="s">
        <v>15</v>
      </c>
      <c r="D13" s="58"/>
      <c r="F13" s="58" t="s">
        <v>168</v>
      </c>
    </row>
    <row r="14" spans="1:8" x14ac:dyDescent="0.25">
      <c r="A14" t="s">
        <v>123</v>
      </c>
      <c r="B14">
        <v>5</v>
      </c>
      <c r="C14">
        <v>2</v>
      </c>
      <c r="D14" s="58">
        <v>150</v>
      </c>
      <c r="E14">
        <v>11</v>
      </c>
      <c r="F14" s="58">
        <v>-54.54545454545454</v>
      </c>
    </row>
    <row r="15" spans="1:8" x14ac:dyDescent="0.25">
      <c r="A15" t="s">
        <v>161</v>
      </c>
      <c r="B15">
        <v>192</v>
      </c>
      <c r="C15">
        <v>168</v>
      </c>
      <c r="D15" s="58">
        <v>14.285714285714285</v>
      </c>
      <c r="E15">
        <v>111</v>
      </c>
      <c r="F15" s="58">
        <v>72.972972972972968</v>
      </c>
    </row>
    <row r="16" spans="1:8" x14ac:dyDescent="0.25">
      <c r="A16" t="s">
        <v>120</v>
      </c>
      <c r="B16">
        <v>73</v>
      </c>
      <c r="C16">
        <v>84</v>
      </c>
      <c r="D16" s="58">
        <v>-13.095238095238097</v>
      </c>
      <c r="E16">
        <v>67</v>
      </c>
      <c r="F16" s="58">
        <v>8.9552238805970141</v>
      </c>
    </row>
    <row r="17" spans="1:6" x14ac:dyDescent="0.25">
      <c r="A17" t="s">
        <v>121</v>
      </c>
      <c r="B17">
        <v>2152</v>
      </c>
      <c r="C17">
        <v>1981</v>
      </c>
      <c r="D17" s="58">
        <v>8.6320040383644638</v>
      </c>
      <c r="E17">
        <v>1352</v>
      </c>
      <c r="F17" s="58">
        <v>59.171597633136095</v>
      </c>
    </row>
    <row r="18" spans="1:6" x14ac:dyDescent="0.25">
      <c r="A18" t="s">
        <v>122</v>
      </c>
      <c r="B18">
        <v>483</v>
      </c>
      <c r="C18">
        <v>364</v>
      </c>
      <c r="D18" s="58">
        <v>32.692307692307693</v>
      </c>
      <c r="E18">
        <v>229</v>
      </c>
      <c r="F18" s="58">
        <v>110.91703056768559</v>
      </c>
    </row>
    <row r="19" spans="1:6" x14ac:dyDescent="0.25">
      <c r="A19" t="s">
        <v>126</v>
      </c>
      <c r="B19">
        <v>0</v>
      </c>
      <c r="C19">
        <v>0</v>
      </c>
      <c r="D19" s="58" t="s">
        <v>168</v>
      </c>
      <c r="E19">
        <v>0</v>
      </c>
      <c r="F19" s="58" t="s">
        <v>168</v>
      </c>
    </row>
    <row r="20" spans="1:6" x14ac:dyDescent="0.25">
      <c r="A20" t="s">
        <v>163</v>
      </c>
      <c r="B20">
        <v>0</v>
      </c>
      <c r="C20">
        <v>1</v>
      </c>
      <c r="D20" s="58">
        <v>-100</v>
      </c>
      <c r="E20">
        <v>0</v>
      </c>
      <c r="F20" s="58" t="s">
        <v>168</v>
      </c>
    </row>
    <row r="21" spans="1:6" x14ac:dyDescent="0.25">
      <c r="A21" t="s">
        <v>127</v>
      </c>
      <c r="B21">
        <v>0</v>
      </c>
      <c r="C21">
        <v>0</v>
      </c>
      <c r="D21" s="58" t="s">
        <v>168</v>
      </c>
      <c r="E21">
        <v>1</v>
      </c>
      <c r="F21" s="58">
        <v>-100</v>
      </c>
    </row>
    <row r="22" spans="1:6" ht="14.4" x14ac:dyDescent="0.3">
      <c r="A22" s="59" t="s">
        <v>165</v>
      </c>
      <c r="B22" s="60">
        <f t="shared" ref="B22:C22" si="1">SUM(B14:B21)</f>
        <v>2905</v>
      </c>
      <c r="C22" s="60">
        <f t="shared" si="1"/>
        <v>2600</v>
      </c>
      <c r="D22" s="73">
        <f>((B22/C22)-1)*100</f>
        <v>11.730769230769234</v>
      </c>
      <c r="E22" s="60">
        <f>SUM(E14:E21)</f>
        <v>1771</v>
      </c>
      <c r="F22" s="73">
        <f>((B22/E22)-1)*100</f>
        <v>64.031620553359687</v>
      </c>
    </row>
    <row r="23" spans="1:6" ht="14.4" x14ac:dyDescent="0.3">
      <c r="A23" s="67" t="s">
        <v>119</v>
      </c>
      <c r="B23" s="68"/>
      <c r="C23" s="68"/>
      <c r="D23" s="69" t="s">
        <v>168</v>
      </c>
      <c r="E23" s="68"/>
      <c r="F23" s="69" t="s">
        <v>168</v>
      </c>
    </row>
    <row r="24" spans="1:6" ht="14.4" x14ac:dyDescent="0.3">
      <c r="A24" s="57" t="s">
        <v>14</v>
      </c>
      <c r="D24" s="58"/>
      <c r="F24" s="58"/>
    </row>
    <row r="25" spans="1:6" x14ac:dyDescent="0.25">
      <c r="A25" t="s">
        <v>123</v>
      </c>
      <c r="B25" s="3">
        <v>11554</v>
      </c>
      <c r="C25" s="3">
        <v>11727</v>
      </c>
      <c r="D25" s="58">
        <v>-1.4752281060799863</v>
      </c>
      <c r="E25" s="3">
        <v>6384</v>
      </c>
      <c r="F25" s="58">
        <v>80.983709273182953</v>
      </c>
    </row>
    <row r="26" spans="1:6" x14ac:dyDescent="0.25">
      <c r="A26" t="s">
        <v>161</v>
      </c>
      <c r="B26" s="3">
        <v>24826</v>
      </c>
      <c r="C26" s="3">
        <v>11234</v>
      </c>
      <c r="D26" s="58">
        <v>120.98985223428878</v>
      </c>
      <c r="E26" s="3">
        <v>22660</v>
      </c>
      <c r="F26" s="58">
        <v>9.5586937334510154</v>
      </c>
    </row>
    <row r="27" spans="1:6" x14ac:dyDescent="0.25">
      <c r="A27" t="s">
        <v>120</v>
      </c>
      <c r="B27" s="3">
        <v>14610</v>
      </c>
      <c r="C27" s="3">
        <v>10724</v>
      </c>
      <c r="D27" s="58">
        <v>36.236478925773966</v>
      </c>
      <c r="E27" s="3">
        <v>16420</v>
      </c>
      <c r="F27" s="58">
        <v>-11.0231425091352</v>
      </c>
    </row>
    <row r="28" spans="1:6" x14ac:dyDescent="0.25">
      <c r="A28" t="s">
        <v>121</v>
      </c>
      <c r="B28" s="3">
        <v>72981</v>
      </c>
      <c r="C28" s="3">
        <v>84510</v>
      </c>
      <c r="D28" s="58">
        <v>-13.642172523961662</v>
      </c>
      <c r="E28" s="3">
        <v>50994</v>
      </c>
      <c r="F28" s="58">
        <v>43.116837274973527</v>
      </c>
    </row>
    <row r="29" spans="1:6" x14ac:dyDescent="0.25">
      <c r="A29" t="s">
        <v>122</v>
      </c>
      <c r="B29" s="3">
        <v>32054</v>
      </c>
      <c r="C29" s="3">
        <v>32486</v>
      </c>
      <c r="D29" s="58">
        <v>-1.3298036077079358</v>
      </c>
      <c r="E29" s="3">
        <v>25702</v>
      </c>
      <c r="F29" s="58">
        <v>24.714030036573028</v>
      </c>
    </row>
    <row r="30" spans="1:6" x14ac:dyDescent="0.25">
      <c r="A30" t="s">
        <v>126</v>
      </c>
      <c r="B30" s="3">
        <v>1067</v>
      </c>
      <c r="C30" s="3">
        <v>532</v>
      </c>
      <c r="D30" s="58">
        <v>100.5639097744361</v>
      </c>
      <c r="E30" s="3">
        <v>155</v>
      </c>
      <c r="F30" s="58">
        <v>588.38709677419354</v>
      </c>
    </row>
    <row r="31" spans="1:6" x14ac:dyDescent="0.25">
      <c r="A31" t="s">
        <v>163</v>
      </c>
      <c r="B31" s="3">
        <v>647</v>
      </c>
      <c r="C31" s="3">
        <v>97</v>
      </c>
      <c r="D31" s="58">
        <v>567.01030927835052</v>
      </c>
      <c r="E31" s="3">
        <v>62</v>
      </c>
      <c r="F31" s="58">
        <v>943.54838709677415</v>
      </c>
    </row>
    <row r="32" spans="1:6" x14ac:dyDescent="0.25">
      <c r="A32" t="s">
        <v>127</v>
      </c>
      <c r="B32" s="3">
        <v>1117</v>
      </c>
      <c r="C32" s="3">
        <v>4890</v>
      </c>
      <c r="D32" s="58">
        <v>-77.157464212678946</v>
      </c>
      <c r="E32" s="3">
        <v>2615</v>
      </c>
      <c r="F32" s="58">
        <v>-57.284894837476095</v>
      </c>
    </row>
    <row r="33" spans="1:6" ht="14.4" x14ac:dyDescent="0.3">
      <c r="A33" s="59" t="s">
        <v>164</v>
      </c>
      <c r="B33" s="62">
        <f t="shared" ref="B33:C33" si="2">SUM(B25:B32)</f>
        <v>158856</v>
      </c>
      <c r="C33" s="62">
        <f t="shared" si="2"/>
        <v>156200</v>
      </c>
      <c r="D33" s="73">
        <f>((B33/C33)-1)*100</f>
        <v>1.7003841229193295</v>
      </c>
      <c r="E33" s="62">
        <f>SUM(E25:E32)</f>
        <v>124992</v>
      </c>
      <c r="F33" s="73">
        <f>((B33/E33)-1)*100</f>
        <v>27.092933947772657</v>
      </c>
    </row>
    <row r="34" spans="1:6" ht="14.4" x14ac:dyDescent="0.3">
      <c r="A34" s="57" t="s">
        <v>15</v>
      </c>
      <c r="D34" s="58"/>
      <c r="F34" s="58"/>
    </row>
    <row r="35" spans="1:6" x14ac:dyDescent="0.25">
      <c r="A35" t="s">
        <v>123</v>
      </c>
      <c r="B35" s="3">
        <v>53</v>
      </c>
      <c r="C35" s="3">
        <v>80</v>
      </c>
      <c r="D35" s="58">
        <v>-33.75</v>
      </c>
      <c r="E35" s="3">
        <v>55</v>
      </c>
      <c r="F35" s="58">
        <v>-3.6363636363636362</v>
      </c>
    </row>
    <row r="36" spans="1:6" x14ac:dyDescent="0.25">
      <c r="A36" t="s">
        <v>161</v>
      </c>
      <c r="B36" s="3">
        <v>2489</v>
      </c>
      <c r="C36" s="3">
        <v>1351</v>
      </c>
      <c r="D36" s="58">
        <v>84.233900814211694</v>
      </c>
      <c r="E36" s="3">
        <v>1372</v>
      </c>
      <c r="F36" s="58">
        <v>81.413994169096213</v>
      </c>
    </row>
    <row r="37" spans="1:6" x14ac:dyDescent="0.25">
      <c r="A37" t="s">
        <v>120</v>
      </c>
      <c r="B37" s="3">
        <v>797</v>
      </c>
      <c r="C37" s="3">
        <v>2774</v>
      </c>
      <c r="D37" s="58">
        <v>-71.268925739005056</v>
      </c>
      <c r="E37" s="3">
        <v>143</v>
      </c>
      <c r="F37" s="58">
        <v>457.34265734265733</v>
      </c>
    </row>
    <row r="38" spans="1:6" x14ac:dyDescent="0.25">
      <c r="A38" t="s">
        <v>121</v>
      </c>
      <c r="B38" s="3">
        <v>23354</v>
      </c>
      <c r="C38" s="3">
        <v>25332</v>
      </c>
      <c r="D38" s="58">
        <v>-7.8083057003000151</v>
      </c>
      <c r="E38" s="3">
        <v>18568</v>
      </c>
      <c r="F38" s="58">
        <v>25.775527789745801</v>
      </c>
    </row>
    <row r="39" spans="1:6" x14ac:dyDescent="0.25">
      <c r="A39" t="s">
        <v>122</v>
      </c>
      <c r="B39" s="3">
        <v>7141</v>
      </c>
      <c r="C39" s="3">
        <v>4596</v>
      </c>
      <c r="D39" s="58">
        <v>55.374238468233251</v>
      </c>
      <c r="E39" s="3">
        <v>3861</v>
      </c>
      <c r="F39" s="58">
        <v>84.952084952084945</v>
      </c>
    </row>
    <row r="40" spans="1:6" x14ac:dyDescent="0.25">
      <c r="A40" t="s">
        <v>126</v>
      </c>
      <c r="B40" s="3">
        <v>0</v>
      </c>
      <c r="C40" s="3">
        <v>0</v>
      </c>
      <c r="D40" s="58" t="s">
        <v>168</v>
      </c>
      <c r="E40" s="3">
        <v>0</v>
      </c>
      <c r="F40" s="58" t="s">
        <v>168</v>
      </c>
    </row>
    <row r="41" spans="1:6" x14ac:dyDescent="0.25">
      <c r="A41" t="s">
        <v>163</v>
      </c>
      <c r="B41" s="3">
        <v>0</v>
      </c>
      <c r="C41" s="3">
        <v>80</v>
      </c>
      <c r="D41" s="58">
        <v>-100</v>
      </c>
      <c r="E41" s="3">
        <v>0</v>
      </c>
      <c r="F41" s="58" t="s">
        <v>168</v>
      </c>
    </row>
    <row r="42" spans="1:6" x14ac:dyDescent="0.25">
      <c r="A42" t="s">
        <v>127</v>
      </c>
      <c r="B42" s="3">
        <v>0</v>
      </c>
      <c r="C42" s="3">
        <v>0</v>
      </c>
      <c r="D42" s="58" t="s">
        <v>168</v>
      </c>
      <c r="E42" s="3">
        <v>500</v>
      </c>
      <c r="F42" s="58">
        <v>-100</v>
      </c>
    </row>
    <row r="43" spans="1:6" ht="14.4" x14ac:dyDescent="0.3">
      <c r="A43" s="59" t="s">
        <v>165</v>
      </c>
      <c r="B43" s="63">
        <v>33834</v>
      </c>
      <c r="C43" s="63">
        <v>34213</v>
      </c>
      <c r="D43" s="73">
        <f>((B43/C43)-1)*100</f>
        <v>-1.1077660538391876</v>
      </c>
      <c r="E43" s="63">
        <f>SUM(E35:E42)</f>
        <v>24499</v>
      </c>
      <c r="F43" s="73">
        <f>((B43/E43)-1)*100</f>
        <v>38.10359606514551</v>
      </c>
    </row>
    <row r="44" spans="1:6" ht="14.4" x14ac:dyDescent="0.3">
      <c r="A44" s="67" t="s">
        <v>172</v>
      </c>
      <c r="B44" s="68"/>
      <c r="C44" s="68"/>
      <c r="D44" s="69" t="s">
        <v>168</v>
      </c>
      <c r="E44" s="68"/>
      <c r="F44" s="69" t="s">
        <v>168</v>
      </c>
    </row>
    <row r="45" spans="1:6" ht="14.4" x14ac:dyDescent="0.3">
      <c r="A45" s="57" t="s">
        <v>14</v>
      </c>
      <c r="D45" s="58"/>
      <c r="F45" s="58"/>
    </row>
    <row r="46" spans="1:6" x14ac:dyDescent="0.25">
      <c r="A46" t="s">
        <v>123</v>
      </c>
      <c r="B46" s="64">
        <v>2540441301.1700001</v>
      </c>
      <c r="C46" s="64">
        <v>2689823264.5700002</v>
      </c>
      <c r="D46" s="58">
        <v>-5.5535977165354975</v>
      </c>
      <c r="E46" s="64">
        <v>1171950702.4200001</v>
      </c>
      <c r="F46" s="58">
        <v>116.7703211341704</v>
      </c>
    </row>
    <row r="47" spans="1:6" x14ac:dyDescent="0.25">
      <c r="A47" t="s">
        <v>161</v>
      </c>
      <c r="B47" s="64">
        <v>7573540749.7399998</v>
      </c>
      <c r="C47" s="64">
        <v>3388926579.9250002</v>
      </c>
      <c r="D47" s="58">
        <v>123.47904479853349</v>
      </c>
      <c r="E47" s="64">
        <v>5391735407.2449999</v>
      </c>
      <c r="F47" s="58">
        <v>40.465734642008904</v>
      </c>
    </row>
    <row r="48" spans="1:6" x14ac:dyDescent="0.25">
      <c r="A48" t="s">
        <v>120</v>
      </c>
      <c r="B48" s="64">
        <v>4731044838.1400003</v>
      </c>
      <c r="C48" s="64">
        <v>3701883739.0100002</v>
      </c>
      <c r="D48" s="58">
        <v>27.801010828212291</v>
      </c>
      <c r="E48" s="64">
        <v>3986746927.7950001</v>
      </c>
      <c r="F48" s="58">
        <v>18.669304167662794</v>
      </c>
    </row>
    <row r="49" spans="1:6" x14ac:dyDescent="0.25">
      <c r="A49" t="s">
        <v>121</v>
      </c>
      <c r="B49" s="64">
        <v>33153690352.77</v>
      </c>
      <c r="C49" s="64">
        <v>41308138556.739998</v>
      </c>
      <c r="D49" s="58">
        <v>-19.74053658401774</v>
      </c>
      <c r="E49" s="64">
        <v>13267423647.540001</v>
      </c>
      <c r="F49" s="58">
        <v>149.88793026833994</v>
      </c>
    </row>
    <row r="50" spans="1:6" x14ac:dyDescent="0.25">
      <c r="A50" t="s">
        <v>122</v>
      </c>
      <c r="B50" s="64">
        <v>10175781581.469999</v>
      </c>
      <c r="C50" s="64">
        <v>10598629582.35</v>
      </c>
      <c r="D50" s="58">
        <v>-3.9896478841394161</v>
      </c>
      <c r="E50" s="64">
        <v>6096388762.2200003</v>
      </c>
      <c r="F50" s="58">
        <v>66.914906157731451</v>
      </c>
    </row>
    <row r="51" spans="1:6" x14ac:dyDescent="0.25">
      <c r="A51" t="s">
        <v>126</v>
      </c>
      <c r="B51" s="64">
        <v>195500254.493</v>
      </c>
      <c r="C51" s="64">
        <v>104542755.01800001</v>
      </c>
      <c r="D51" s="58">
        <v>87.005072192079751</v>
      </c>
      <c r="E51" s="64">
        <v>22533250.010000002</v>
      </c>
      <c r="F51" s="58">
        <v>767.60788792668257</v>
      </c>
    </row>
    <row r="52" spans="1:6" x14ac:dyDescent="0.25">
      <c r="A52" t="s">
        <v>163</v>
      </c>
      <c r="B52" s="64">
        <v>92346317.064999998</v>
      </c>
      <c r="C52" s="64">
        <v>15036409.99</v>
      </c>
      <c r="D52" s="58">
        <v>514.15136409831291</v>
      </c>
      <c r="E52" s="64">
        <v>8713469.9940000009</v>
      </c>
      <c r="F52" s="58">
        <v>959.81104116487063</v>
      </c>
    </row>
    <row r="53" spans="1:6" x14ac:dyDescent="0.25">
      <c r="A53" t="s">
        <v>127</v>
      </c>
      <c r="B53" s="64">
        <v>70674825.079999998</v>
      </c>
      <c r="C53" s="64">
        <v>299796761.60000002</v>
      </c>
      <c r="D53" s="58">
        <v>-76.42575433343174</v>
      </c>
      <c r="E53" s="64">
        <v>183746405.63</v>
      </c>
      <c r="F53" s="58">
        <v>-61.536757773475038</v>
      </c>
    </row>
    <row r="54" spans="1:6" ht="14.4" x14ac:dyDescent="0.3">
      <c r="A54" s="59" t="s">
        <v>164</v>
      </c>
      <c r="B54" s="65">
        <f>SUM(B46:B53)</f>
        <v>58533020219.928001</v>
      </c>
      <c r="C54" s="65">
        <f>SUM(C46:C53)</f>
        <v>62106777649.202988</v>
      </c>
      <c r="D54" s="73">
        <f>((B54/C54)-1)*100</f>
        <v>-5.7542148611550932</v>
      </c>
      <c r="E54" s="65">
        <f>SUM(E46:E53)</f>
        <v>30129238572.854</v>
      </c>
      <c r="F54" s="73">
        <f>((B54/E54)-1)*100</f>
        <v>94.2731479203905</v>
      </c>
    </row>
    <row r="55" spans="1:6" ht="14.4" x14ac:dyDescent="0.3">
      <c r="A55" s="57" t="s">
        <v>15</v>
      </c>
      <c r="B55" s="66"/>
      <c r="C55" s="66"/>
      <c r="D55" s="58" t="s">
        <v>168</v>
      </c>
      <c r="E55" s="66"/>
      <c r="F55" s="58"/>
    </row>
    <row r="56" spans="1:6" x14ac:dyDescent="0.25">
      <c r="A56" t="s">
        <v>123</v>
      </c>
      <c r="B56" s="64">
        <v>501372</v>
      </c>
      <c r="C56" s="64">
        <v>699773.6</v>
      </c>
      <c r="D56" s="58">
        <v>-28.352255643825369</v>
      </c>
      <c r="E56" s="64">
        <v>448020</v>
      </c>
      <c r="F56" s="58">
        <v>11.908396946564885</v>
      </c>
    </row>
    <row r="57" spans="1:6" x14ac:dyDescent="0.25">
      <c r="A57" t="s">
        <v>161</v>
      </c>
      <c r="B57" s="64">
        <v>17475613.100000001</v>
      </c>
      <c r="C57" s="64">
        <v>9029810.6199999992</v>
      </c>
      <c r="D57" s="58">
        <v>93.532443097904121</v>
      </c>
      <c r="E57" s="64">
        <v>10119526.539999999</v>
      </c>
      <c r="F57" s="58">
        <v>72.692003236744341</v>
      </c>
    </row>
    <row r="58" spans="1:6" x14ac:dyDescent="0.25">
      <c r="A58" t="s">
        <v>120</v>
      </c>
      <c r="B58" s="64">
        <v>12991581.050000001</v>
      </c>
      <c r="C58" s="64">
        <v>33888032.200000003</v>
      </c>
      <c r="D58" s="58">
        <v>-61.66321793686209</v>
      </c>
      <c r="E58" s="64">
        <v>532160.03</v>
      </c>
      <c r="F58" s="58">
        <v>2341.2921522873485</v>
      </c>
    </row>
    <row r="59" spans="1:6" x14ac:dyDescent="0.25">
      <c r="A59" t="s">
        <v>121</v>
      </c>
      <c r="B59" s="64">
        <v>486546800.80000001</v>
      </c>
      <c r="C59" s="64">
        <v>558992679.58000004</v>
      </c>
      <c r="D59" s="58">
        <v>-12.960076478001886</v>
      </c>
      <c r="E59" s="64">
        <v>155970466.88</v>
      </c>
      <c r="F59" s="58">
        <v>211.94803127334208</v>
      </c>
    </row>
    <row r="60" spans="1:6" x14ac:dyDescent="0.25">
      <c r="A60" t="s">
        <v>122</v>
      </c>
      <c r="B60" s="64">
        <v>63882831.740000002</v>
      </c>
      <c r="C60" s="64">
        <v>44850736.100000001</v>
      </c>
      <c r="D60" s="58">
        <v>42.434299400495235</v>
      </c>
      <c r="E60" s="64">
        <v>30103015.66</v>
      </c>
      <c r="F60" s="58">
        <v>112.2140600846367</v>
      </c>
    </row>
    <row r="61" spans="1:6" x14ac:dyDescent="0.25">
      <c r="A61" t="s">
        <v>126</v>
      </c>
      <c r="B61" s="64">
        <v>0</v>
      </c>
      <c r="C61" s="64">
        <v>0</v>
      </c>
      <c r="D61" s="58" t="s">
        <v>168</v>
      </c>
      <c r="E61" s="64">
        <v>0</v>
      </c>
      <c r="F61" s="58" t="s">
        <v>168</v>
      </c>
    </row>
    <row r="62" spans="1:6" x14ac:dyDescent="0.25">
      <c r="A62" t="s">
        <v>163</v>
      </c>
      <c r="B62" s="64">
        <v>0</v>
      </c>
      <c r="C62" s="64">
        <v>134421.6</v>
      </c>
      <c r="D62" s="58">
        <v>-100</v>
      </c>
      <c r="E62" s="64">
        <v>0</v>
      </c>
      <c r="F62" s="58" t="s">
        <v>168</v>
      </c>
    </row>
    <row r="63" spans="1:6" x14ac:dyDescent="0.25">
      <c r="A63" t="s">
        <v>127</v>
      </c>
      <c r="B63" s="64">
        <v>0</v>
      </c>
      <c r="C63" s="64">
        <v>0</v>
      </c>
      <c r="D63" s="58" t="s">
        <v>168</v>
      </c>
      <c r="E63" s="64">
        <v>785000</v>
      </c>
      <c r="F63" s="58">
        <v>-100</v>
      </c>
    </row>
    <row r="64" spans="1:6" ht="14.4" x14ac:dyDescent="0.3">
      <c r="A64" s="59" t="s">
        <v>165</v>
      </c>
      <c r="B64" s="65">
        <f>SUM(B56:B63)</f>
        <v>581398198.68999994</v>
      </c>
      <c r="C64" s="65">
        <f>SUM(C56:C63)</f>
        <v>647595453.70000005</v>
      </c>
      <c r="D64" s="73">
        <f>((B64/C64)-1)*100</f>
        <v>-10.222007370772268</v>
      </c>
      <c r="E64" s="65">
        <f>SUM(E56:E63)</f>
        <v>197958189.10999998</v>
      </c>
      <c r="F64" s="73">
        <f>((B64/E64)-1)*100</f>
        <v>193.69747283702051</v>
      </c>
    </row>
    <row r="65" spans="1:6" ht="14.4" x14ac:dyDescent="0.3">
      <c r="A65" s="67" t="s">
        <v>124</v>
      </c>
      <c r="B65" s="68"/>
      <c r="C65" s="68"/>
      <c r="D65" s="69" t="s">
        <v>168</v>
      </c>
      <c r="E65" s="68"/>
      <c r="F65" s="69" t="s">
        <v>168</v>
      </c>
    </row>
    <row r="66" spans="1:6" ht="14.4" x14ac:dyDescent="0.3">
      <c r="A66" s="57" t="s">
        <v>14</v>
      </c>
    </row>
    <row r="67" spans="1:6" x14ac:dyDescent="0.25">
      <c r="A67" t="s">
        <v>123</v>
      </c>
      <c r="B67" s="3">
        <v>2873</v>
      </c>
      <c r="C67" s="3">
        <v>4162</v>
      </c>
      <c r="D67" s="58">
        <v>-30.970687169629983</v>
      </c>
      <c r="E67" s="3">
        <v>3174</v>
      </c>
      <c r="F67" s="58">
        <v>-9.4833018273471961</v>
      </c>
    </row>
    <row r="68" spans="1:6" x14ac:dyDescent="0.25">
      <c r="A68" t="s">
        <v>161</v>
      </c>
      <c r="B68" s="3">
        <v>7514</v>
      </c>
      <c r="C68" s="3">
        <v>5173</v>
      </c>
      <c r="D68" s="58">
        <v>45.254204523487338</v>
      </c>
      <c r="E68" s="3">
        <v>6485</v>
      </c>
      <c r="F68" s="58">
        <v>15.867386276021589</v>
      </c>
    </row>
    <row r="69" spans="1:6" x14ac:dyDescent="0.25">
      <c r="A69" t="s">
        <v>120</v>
      </c>
      <c r="B69" s="3">
        <v>5086</v>
      </c>
      <c r="C69" s="3">
        <v>4456</v>
      </c>
      <c r="D69" s="58">
        <v>14.138240574506284</v>
      </c>
      <c r="E69" s="3">
        <v>3641</v>
      </c>
      <c r="F69" s="58">
        <v>39.686899203515516</v>
      </c>
    </row>
    <row r="70" spans="1:6" x14ac:dyDescent="0.25">
      <c r="A70" t="s">
        <v>121</v>
      </c>
      <c r="B70" s="3">
        <v>24502</v>
      </c>
      <c r="C70" s="3">
        <v>23341</v>
      </c>
      <c r="D70" s="58">
        <v>4.9740799451608764</v>
      </c>
      <c r="E70" s="3">
        <v>27863</v>
      </c>
      <c r="F70" s="58">
        <v>-12.062591967842659</v>
      </c>
    </row>
    <row r="71" spans="1:6" x14ac:dyDescent="0.25">
      <c r="A71" t="s">
        <v>122</v>
      </c>
      <c r="B71" s="3">
        <v>16409</v>
      </c>
      <c r="C71" s="3">
        <v>16682</v>
      </c>
      <c r="D71" s="58">
        <v>-1.6364944251288815</v>
      </c>
      <c r="E71" s="3">
        <v>16736</v>
      </c>
      <c r="F71" s="58">
        <v>-1.9538718929254302</v>
      </c>
    </row>
    <row r="72" spans="1:6" x14ac:dyDescent="0.25">
      <c r="A72" t="s">
        <v>126</v>
      </c>
      <c r="B72" s="3">
        <v>880</v>
      </c>
      <c r="C72" s="3">
        <v>1262</v>
      </c>
      <c r="D72" s="58">
        <v>-30.269413629160063</v>
      </c>
      <c r="E72" s="3">
        <v>296</v>
      </c>
      <c r="F72" s="58">
        <v>197.29729729729729</v>
      </c>
    </row>
    <row r="73" spans="1:6" x14ac:dyDescent="0.25">
      <c r="A73" t="s">
        <v>163</v>
      </c>
      <c r="B73" s="3">
        <v>188</v>
      </c>
      <c r="C73" s="3">
        <v>463</v>
      </c>
      <c r="D73" s="58">
        <v>-59.395248380129594</v>
      </c>
      <c r="E73" s="3">
        <v>237</v>
      </c>
      <c r="F73" s="58">
        <v>-20.675105485232066</v>
      </c>
    </row>
    <row r="74" spans="1:6" x14ac:dyDescent="0.25">
      <c r="A74" t="s">
        <v>127</v>
      </c>
      <c r="B74" s="3">
        <v>552</v>
      </c>
      <c r="C74" s="3">
        <v>230</v>
      </c>
      <c r="D74" s="58">
        <v>140</v>
      </c>
      <c r="E74" s="3">
        <v>850</v>
      </c>
      <c r="F74" s="58">
        <v>-35.058823529411768</v>
      </c>
    </row>
    <row r="75" spans="1:6" ht="14.4" x14ac:dyDescent="0.3">
      <c r="A75" s="57" t="s">
        <v>15</v>
      </c>
      <c r="B75" s="3"/>
      <c r="C75" s="3"/>
      <c r="E75" s="3"/>
      <c r="F75" s="58"/>
    </row>
    <row r="76" spans="1:6" x14ac:dyDescent="0.25">
      <c r="A76" t="s">
        <v>123</v>
      </c>
      <c r="B76" s="3">
        <v>115</v>
      </c>
      <c r="C76" s="3">
        <v>90</v>
      </c>
      <c r="D76" s="58">
        <v>27.777777777777779</v>
      </c>
      <c r="E76" s="3">
        <v>52</v>
      </c>
      <c r="F76" s="58">
        <v>121.15384615384615</v>
      </c>
    </row>
    <row r="77" spans="1:6" x14ac:dyDescent="0.25">
      <c r="A77" t="s">
        <v>161</v>
      </c>
      <c r="B77" s="3">
        <v>1598</v>
      </c>
      <c r="C77" s="3">
        <v>5965</v>
      </c>
      <c r="D77" s="58">
        <v>-73.210393964794633</v>
      </c>
      <c r="E77" s="3">
        <v>407</v>
      </c>
      <c r="F77" s="58">
        <v>292.62899262899265</v>
      </c>
    </row>
    <row r="78" spans="1:6" x14ac:dyDescent="0.25">
      <c r="A78" t="s">
        <v>120</v>
      </c>
      <c r="B78" s="3">
        <v>2522</v>
      </c>
      <c r="C78" s="3">
        <v>4182</v>
      </c>
      <c r="D78" s="58">
        <v>-39.69392635102821</v>
      </c>
      <c r="E78" s="3">
        <v>1217</v>
      </c>
      <c r="F78" s="58">
        <v>107.23089564502877</v>
      </c>
    </row>
    <row r="79" spans="1:6" x14ac:dyDescent="0.25">
      <c r="A79" t="s">
        <v>121</v>
      </c>
      <c r="B79" s="3">
        <v>67103</v>
      </c>
      <c r="C79" s="3">
        <v>65902</v>
      </c>
      <c r="D79" s="58">
        <v>1.8224029619738398</v>
      </c>
      <c r="E79" s="3">
        <v>46702</v>
      </c>
      <c r="F79" s="58">
        <v>43.683354031947239</v>
      </c>
    </row>
    <row r="80" spans="1:6" x14ac:dyDescent="0.25">
      <c r="A80" t="s">
        <v>122</v>
      </c>
      <c r="B80" s="3">
        <v>21144</v>
      </c>
      <c r="C80" s="3">
        <v>18806</v>
      </c>
      <c r="D80" s="58">
        <v>12.432202488567478</v>
      </c>
      <c r="E80" s="3">
        <v>16179</v>
      </c>
      <c r="F80" s="58">
        <v>30.687928796588171</v>
      </c>
    </row>
    <row r="81" spans="1:6" x14ac:dyDescent="0.25">
      <c r="A81" t="s">
        <v>126</v>
      </c>
      <c r="B81" s="3">
        <v>0</v>
      </c>
      <c r="C81" s="3">
        <v>0</v>
      </c>
      <c r="D81" s="58" t="s">
        <v>168</v>
      </c>
      <c r="E81" s="3">
        <v>0</v>
      </c>
      <c r="F81" s="58" t="s">
        <v>168</v>
      </c>
    </row>
    <row r="82" spans="1:6" x14ac:dyDescent="0.25">
      <c r="A82" t="s">
        <v>163</v>
      </c>
      <c r="B82" s="3">
        <v>80</v>
      </c>
      <c r="C82" s="3">
        <v>80</v>
      </c>
      <c r="D82" s="58">
        <v>0</v>
      </c>
      <c r="E82" s="3">
        <v>130</v>
      </c>
      <c r="F82" s="58">
        <v>-38.461538461538467</v>
      </c>
    </row>
    <row r="83" spans="1:6" x14ac:dyDescent="0.25">
      <c r="A83" t="s">
        <v>127</v>
      </c>
      <c r="B83" s="3">
        <v>0</v>
      </c>
      <c r="C83" s="3">
        <v>0</v>
      </c>
      <c r="D83" s="58" t="s">
        <v>168</v>
      </c>
      <c r="E83" s="3">
        <v>500</v>
      </c>
      <c r="F83" s="58">
        <v>-100</v>
      </c>
    </row>
    <row r="84" spans="1:6" ht="14.4" x14ac:dyDescent="0.3">
      <c r="A84" s="59"/>
      <c r="B84" s="62"/>
      <c r="C84" s="62"/>
      <c r="D84" s="61"/>
      <c r="E84" s="62"/>
      <c r="F84" s="61"/>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27"/>
      <c r="B1" s="1"/>
      <c r="C1" s="1"/>
      <c r="D1" s="1"/>
      <c r="E1" s="1"/>
      <c r="G1" s="13"/>
      <c r="H1" s="1"/>
      <c r="I1" s="1"/>
    </row>
    <row r="2" spans="1:9" x14ac:dyDescent="0.25">
      <c r="A2" s="1"/>
      <c r="B2" s="21"/>
      <c r="C2" s="21"/>
      <c r="D2" s="21"/>
      <c r="E2" s="21"/>
      <c r="G2" s="13"/>
      <c r="H2" s="1"/>
      <c r="I2" s="1"/>
    </row>
    <row r="3" spans="1:9" x14ac:dyDescent="0.25">
      <c r="A3" s="1"/>
      <c r="B3" s="21"/>
      <c r="C3" s="21"/>
      <c r="D3" s="21"/>
      <c r="E3" s="21"/>
      <c r="G3" s="13"/>
      <c r="H3" s="1"/>
      <c r="I3" s="1"/>
    </row>
    <row r="4" spans="1:9" x14ac:dyDescent="0.25">
      <c r="A4" s="1"/>
      <c r="B4" s="22"/>
      <c r="C4" s="22"/>
      <c r="D4" s="22"/>
      <c r="E4" s="21"/>
      <c r="F4" s="21"/>
      <c r="G4" s="1"/>
      <c r="H4" s="1"/>
      <c r="I4" s="1"/>
    </row>
    <row r="5" spans="1:9" ht="14.4" x14ac:dyDescent="0.3">
      <c r="B5" s="3"/>
      <c r="C5" s="47"/>
      <c r="D5" s="13"/>
      <c r="F5" s="13"/>
      <c r="G5" s="13"/>
      <c r="H5" s="13"/>
      <c r="I5" s="13"/>
    </row>
    <row r="6" spans="1:9" ht="14.4" x14ac:dyDescent="0.3">
      <c r="B6" s="3"/>
      <c r="C6" s="47"/>
      <c r="D6" s="13"/>
      <c r="F6" s="13"/>
      <c r="G6" s="13"/>
      <c r="H6" s="13"/>
      <c r="I6" s="13"/>
    </row>
    <row r="7" spans="1:9" ht="14.4" x14ac:dyDescent="0.3">
      <c r="B7" s="3"/>
      <c r="C7" s="47"/>
      <c r="D7" s="13"/>
      <c r="F7" s="13"/>
      <c r="G7" s="13"/>
      <c r="H7" s="13"/>
      <c r="I7" s="13"/>
    </row>
    <row r="8" spans="1:9" x14ac:dyDescent="0.25">
      <c r="B8" s="3"/>
      <c r="C8" s="13"/>
      <c r="D8" s="13"/>
      <c r="F8" s="13"/>
      <c r="G8" s="13"/>
      <c r="H8" s="13"/>
      <c r="I8" s="13"/>
    </row>
    <row r="9" spans="1:9" x14ac:dyDescent="0.25">
      <c r="B9" s="3"/>
      <c r="C9" s="13"/>
      <c r="D9" s="13"/>
      <c r="F9" s="13"/>
      <c r="G9" s="13"/>
      <c r="H9" s="13"/>
      <c r="I9" s="13"/>
    </row>
    <row r="10" spans="1:9" x14ac:dyDescent="0.25">
      <c r="A10" s="1"/>
      <c r="B10" s="3"/>
      <c r="C10" s="13"/>
      <c r="D10" s="13"/>
      <c r="F10" s="13"/>
      <c r="G10" s="13"/>
      <c r="H10" s="13"/>
      <c r="I10" s="13"/>
    </row>
    <row r="11" spans="1:9" x14ac:dyDescent="0.25">
      <c r="B11" s="3"/>
      <c r="C11" s="3"/>
      <c r="D11" s="3"/>
      <c r="E11" s="3"/>
      <c r="F11" s="3"/>
      <c r="G11" s="3"/>
      <c r="H11" s="3"/>
      <c r="I11" s="3"/>
    </row>
    <row r="12" spans="1:9" x14ac:dyDescent="0.25">
      <c r="B12" s="3"/>
      <c r="C12" s="3"/>
      <c r="D12" s="3"/>
      <c r="E12" s="3"/>
      <c r="F12" s="3"/>
      <c r="G12" s="3"/>
      <c r="H12" s="3"/>
      <c r="I12" s="3"/>
    </row>
    <row r="13" spans="1:9" x14ac:dyDescent="0.25">
      <c r="B13" s="3"/>
      <c r="C13" s="3"/>
      <c r="D13" s="3"/>
      <c r="E13" s="3"/>
      <c r="F13" s="3"/>
      <c r="G13" s="3"/>
      <c r="H13" s="3"/>
      <c r="I13" s="3"/>
    </row>
    <row r="14" spans="1:9" ht="13.8" thickBot="1" x14ac:dyDescent="0.3">
      <c r="A14" s="74"/>
      <c r="B14" s="78"/>
      <c r="C14" s="78"/>
      <c r="D14" s="78"/>
      <c r="E14" s="78"/>
      <c r="F14" s="78"/>
      <c r="G14" s="78"/>
      <c r="H14" s="78"/>
      <c r="I14" s="78"/>
    </row>
    <row r="15" spans="1:9" ht="13.8" thickTop="1" x14ac:dyDescent="0.25">
      <c r="A15" s="9"/>
      <c r="B15" s="3"/>
      <c r="C15" s="13"/>
      <c r="D15" s="13"/>
      <c r="F15" s="21"/>
      <c r="G15" s="13"/>
      <c r="H15" s="13"/>
      <c r="I15" s="13"/>
    </row>
    <row r="16" spans="1:9" x14ac:dyDescent="0.25">
      <c r="A16" s="9"/>
      <c r="B16" s="3"/>
      <c r="C16" s="13"/>
      <c r="D16" s="13"/>
      <c r="F16" s="21"/>
      <c r="G16" s="13"/>
      <c r="H16" s="13"/>
      <c r="I16"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bestFit="1" customWidth="1"/>
  </cols>
  <sheetData>
    <row r="1" spans="1:4" x14ac:dyDescent="0.25">
      <c r="A1" t="s">
        <v>199</v>
      </c>
      <c r="B1" t="s">
        <v>200</v>
      </c>
      <c r="C1" t="s">
        <v>201</v>
      </c>
      <c r="D1" t="s">
        <v>202</v>
      </c>
    </row>
    <row r="2" spans="1:4" x14ac:dyDescent="0.25">
      <c r="A2" t="s">
        <v>203</v>
      </c>
      <c r="B2" s="72">
        <v>38713</v>
      </c>
      <c r="C2">
        <v>17296.830000000002</v>
      </c>
      <c r="D2">
        <v>1</v>
      </c>
    </row>
    <row r="3" spans="1:4" x14ac:dyDescent="0.25">
      <c r="A3" t="s">
        <v>204</v>
      </c>
      <c r="B3" s="72">
        <v>38713</v>
      </c>
      <c r="C3">
        <v>20229.37</v>
      </c>
      <c r="D3">
        <v>1</v>
      </c>
    </row>
    <row r="4" spans="1:4" x14ac:dyDescent="0.25">
      <c r="A4" t="s">
        <v>205</v>
      </c>
      <c r="B4" s="72">
        <v>38628</v>
      </c>
      <c r="C4">
        <v>10207.67</v>
      </c>
      <c r="D4">
        <v>1</v>
      </c>
    </row>
    <row r="5" spans="1:4" x14ac:dyDescent="0.25">
      <c r="A5" t="s">
        <v>206</v>
      </c>
      <c r="B5" s="72">
        <v>38713</v>
      </c>
      <c r="C5">
        <v>17257.37</v>
      </c>
      <c r="D5">
        <v>1</v>
      </c>
    </row>
    <row r="6" spans="1:4" x14ac:dyDescent="0.25">
      <c r="A6" t="s">
        <v>207</v>
      </c>
      <c r="B6" s="72">
        <v>38716</v>
      </c>
      <c r="C6">
        <v>10070.700000000001</v>
      </c>
      <c r="D6">
        <v>1</v>
      </c>
    </row>
    <row r="7" spans="1:4" x14ac:dyDescent="0.25">
      <c r="A7" t="s">
        <v>208</v>
      </c>
      <c r="B7" s="72">
        <v>38677</v>
      </c>
      <c r="C7">
        <v>28766.959999999999</v>
      </c>
      <c r="D7">
        <v>1</v>
      </c>
    </row>
    <row r="8" spans="1:4" x14ac:dyDescent="0.25">
      <c r="A8" t="s">
        <v>209</v>
      </c>
      <c r="B8" s="72">
        <v>37432</v>
      </c>
      <c r="C8">
        <v>30613.119999999999</v>
      </c>
      <c r="D8">
        <v>1</v>
      </c>
    </row>
    <row r="9" spans="1:4" x14ac:dyDescent="0.25">
      <c r="A9" t="s">
        <v>210</v>
      </c>
      <c r="B9" s="72">
        <v>38425</v>
      </c>
      <c r="C9">
        <v>14581.36</v>
      </c>
      <c r="D9">
        <v>1</v>
      </c>
    </row>
    <row r="10" spans="1:4" x14ac:dyDescent="0.25">
      <c r="A10" t="s">
        <v>211</v>
      </c>
      <c r="B10" s="72">
        <v>38715</v>
      </c>
      <c r="C10">
        <v>17673.63</v>
      </c>
      <c r="D10">
        <v>1</v>
      </c>
    </row>
    <row r="11" spans="1:4" x14ac:dyDescent="0.25">
      <c r="A11" t="s">
        <v>212</v>
      </c>
      <c r="B11" s="72">
        <v>38715</v>
      </c>
      <c r="C11">
        <v>34075.21</v>
      </c>
      <c r="D11">
        <v>1</v>
      </c>
    </row>
    <row r="12" spans="1:4" x14ac:dyDescent="0.25">
      <c r="A12" t="s">
        <v>213</v>
      </c>
      <c r="B12" s="72">
        <v>38680</v>
      </c>
      <c r="C12">
        <v>18105.080000000002</v>
      </c>
      <c r="D12">
        <v>1</v>
      </c>
    </row>
    <row r="13" spans="1:4" x14ac:dyDescent="0.25">
      <c r="A13" t="s">
        <v>214</v>
      </c>
      <c r="B13" s="72">
        <v>38604</v>
      </c>
      <c r="C13">
        <v>28742.13</v>
      </c>
      <c r="D13">
        <v>1</v>
      </c>
    </row>
    <row r="14" spans="1:4" x14ac:dyDescent="0.25">
      <c r="A14" t="s">
        <v>215</v>
      </c>
      <c r="B14" s="72">
        <v>38709</v>
      </c>
      <c r="C14">
        <v>10955.45</v>
      </c>
      <c r="D14">
        <v>1</v>
      </c>
    </row>
    <row r="15" spans="1:4" x14ac:dyDescent="0.25">
      <c r="A15" t="s">
        <v>216</v>
      </c>
      <c r="B15" s="72">
        <v>38580</v>
      </c>
      <c r="C15">
        <v>2321.6</v>
      </c>
      <c r="D15">
        <v>1</v>
      </c>
    </row>
    <row r="16" spans="1:4" x14ac:dyDescent="0.25">
      <c r="A16" t="s">
        <v>217</v>
      </c>
      <c r="B16" s="72">
        <v>38709</v>
      </c>
      <c r="C16">
        <v>2183.41</v>
      </c>
      <c r="D16">
        <v>1</v>
      </c>
    </row>
    <row r="17" spans="1:4" x14ac:dyDescent="0.25">
      <c r="A17" t="s">
        <v>218</v>
      </c>
      <c r="B17" s="72">
        <v>38663</v>
      </c>
      <c r="C17">
        <v>14154.09</v>
      </c>
      <c r="D17">
        <v>1</v>
      </c>
    </row>
    <row r="18" spans="1:4" x14ac:dyDescent="0.25">
      <c r="A18" t="s">
        <v>219</v>
      </c>
      <c r="B18" s="72">
        <v>38663</v>
      </c>
      <c r="C18">
        <v>43569.17</v>
      </c>
      <c r="D18">
        <v>1</v>
      </c>
    </row>
    <row r="19" spans="1:4" x14ac:dyDescent="0.25">
      <c r="A19" t="s">
        <v>220</v>
      </c>
      <c r="B19" s="72">
        <v>38715</v>
      </c>
      <c r="C19">
        <v>25723.24</v>
      </c>
      <c r="D19">
        <v>1</v>
      </c>
    </row>
    <row r="20" spans="1:4" x14ac:dyDescent="0.25">
      <c r="A20" t="s">
        <v>221</v>
      </c>
      <c r="B20" s="72">
        <v>38716</v>
      </c>
      <c r="C20">
        <v>18207.32</v>
      </c>
      <c r="D20">
        <v>1</v>
      </c>
    </row>
    <row r="21" spans="1:4" x14ac:dyDescent="0.25">
      <c r="A21" t="s">
        <v>222</v>
      </c>
      <c r="B21" s="72">
        <v>38615</v>
      </c>
      <c r="C21">
        <v>4728.4799999999996</v>
      </c>
      <c r="D21">
        <v>1</v>
      </c>
    </row>
    <row r="22" spans="1:4" x14ac:dyDescent="0.25">
      <c r="A22" t="s">
        <v>223</v>
      </c>
      <c r="B22" s="72">
        <v>38716</v>
      </c>
      <c r="C22">
        <v>23744.76</v>
      </c>
      <c r="D22">
        <v>1</v>
      </c>
    </row>
    <row r="23" spans="1:4" x14ac:dyDescent="0.25">
      <c r="A23" t="s">
        <v>224</v>
      </c>
      <c r="B23" s="72">
        <v>38715</v>
      </c>
      <c r="C23">
        <v>24993.42</v>
      </c>
      <c r="D23">
        <v>1</v>
      </c>
    </row>
    <row r="24" spans="1:4" x14ac:dyDescent="0.25">
      <c r="A24" t="s">
        <v>225</v>
      </c>
      <c r="B24" s="72">
        <v>38716</v>
      </c>
      <c r="C24">
        <v>2895.12</v>
      </c>
      <c r="D24">
        <v>1</v>
      </c>
    </row>
    <row r="25" spans="1:4" x14ac:dyDescent="0.25">
      <c r="A25" t="s">
        <v>226</v>
      </c>
      <c r="B25" s="72">
        <v>38699</v>
      </c>
      <c r="C25">
        <v>28328.49</v>
      </c>
      <c r="D25">
        <v>1</v>
      </c>
    </row>
    <row r="26" spans="1:4" x14ac:dyDescent="0.25">
      <c r="A26" t="s">
        <v>227</v>
      </c>
      <c r="B26" s="72">
        <v>42195</v>
      </c>
      <c r="C26">
        <v>67821.078360950007</v>
      </c>
      <c r="D26">
        <v>1</v>
      </c>
    </row>
    <row r="27" spans="1:4" x14ac:dyDescent="0.25">
      <c r="A27" t="s">
        <v>228</v>
      </c>
      <c r="B27" s="72">
        <v>38709</v>
      </c>
      <c r="C27">
        <v>1445.21</v>
      </c>
      <c r="D27">
        <v>1</v>
      </c>
    </row>
    <row r="28" spans="1:4" x14ac:dyDescent="0.25">
      <c r="A28" t="s">
        <v>229</v>
      </c>
      <c r="B28" s="72">
        <v>38673</v>
      </c>
      <c r="C28">
        <v>110.01</v>
      </c>
      <c r="D28">
        <v>1</v>
      </c>
    </row>
    <row r="29" spans="1:4" x14ac:dyDescent="0.25">
      <c r="A29" t="s">
        <v>230</v>
      </c>
      <c r="B29" s="72">
        <v>38709</v>
      </c>
      <c r="C29">
        <v>34691.21</v>
      </c>
      <c r="D29">
        <v>1</v>
      </c>
    </row>
    <row r="30" spans="1:4" x14ac:dyDescent="0.25">
      <c r="A30" t="s">
        <v>231</v>
      </c>
      <c r="B30" s="72">
        <v>38716</v>
      </c>
      <c r="C30">
        <v>14859.1</v>
      </c>
      <c r="D30">
        <v>1</v>
      </c>
    </row>
    <row r="31" spans="1:4" x14ac:dyDescent="0.25">
      <c r="A31" t="s">
        <v>232</v>
      </c>
      <c r="B31" s="72">
        <v>38708</v>
      </c>
      <c r="C31">
        <v>1357.01</v>
      </c>
      <c r="D31">
        <v>1</v>
      </c>
    </row>
    <row r="32" spans="1:4" x14ac:dyDescent="0.25">
      <c r="A32" t="s">
        <v>233</v>
      </c>
      <c r="B32" s="72">
        <v>38713</v>
      </c>
      <c r="C32">
        <v>17869.22</v>
      </c>
      <c r="D32">
        <v>1</v>
      </c>
    </row>
    <row r="33" spans="1:4" x14ac:dyDescent="0.25">
      <c r="A33" t="s">
        <v>234</v>
      </c>
      <c r="B33" s="72">
        <v>38713</v>
      </c>
      <c r="C33">
        <v>30401.200000000001</v>
      </c>
      <c r="D33">
        <v>1</v>
      </c>
    </row>
    <row r="34" spans="1:4" x14ac:dyDescent="0.25">
      <c r="A34" t="s">
        <v>235</v>
      </c>
      <c r="B34" s="72">
        <v>38709</v>
      </c>
      <c r="C34">
        <v>16626.419999999998</v>
      </c>
      <c r="D34">
        <v>1</v>
      </c>
    </row>
    <row r="35" spans="1:4" x14ac:dyDescent="0.25">
      <c r="A35" t="s">
        <v>236</v>
      </c>
      <c r="B35" s="72">
        <v>38713</v>
      </c>
      <c r="C35">
        <v>14630.23</v>
      </c>
      <c r="D35">
        <v>1</v>
      </c>
    </row>
    <row r="36" spans="1:4" x14ac:dyDescent="0.25">
      <c r="A36" t="s">
        <v>237</v>
      </c>
      <c r="B36" s="72">
        <v>38713</v>
      </c>
      <c r="C36">
        <v>1547.81</v>
      </c>
      <c r="D36">
        <v>1</v>
      </c>
    </row>
    <row r="37" spans="1:4" x14ac:dyDescent="0.25">
      <c r="A37" t="s">
        <v>238</v>
      </c>
      <c r="B37" s="72">
        <v>38713</v>
      </c>
      <c r="C37">
        <v>590.19000000000005</v>
      </c>
      <c r="D37">
        <v>1</v>
      </c>
    </row>
    <row r="38" spans="1:4" x14ac:dyDescent="0.25">
      <c r="A38" t="s">
        <v>239</v>
      </c>
      <c r="B38" s="72">
        <v>38713</v>
      </c>
      <c r="C38">
        <v>1846.94</v>
      </c>
      <c r="D38">
        <v>1</v>
      </c>
    </row>
    <row r="39" spans="1:4" x14ac:dyDescent="0.25">
      <c r="A39" t="s">
        <v>240</v>
      </c>
      <c r="B39" s="72">
        <v>38709</v>
      </c>
      <c r="C39">
        <v>9758.19</v>
      </c>
      <c r="D39">
        <v>1</v>
      </c>
    </row>
    <row r="40" spans="1:4" x14ac:dyDescent="0.25">
      <c r="A40" t="s">
        <v>241</v>
      </c>
      <c r="B40" s="72">
        <v>38580</v>
      </c>
      <c r="C40">
        <v>673.25</v>
      </c>
      <c r="D40">
        <v>1</v>
      </c>
    </row>
    <row r="41" spans="1:4" x14ac:dyDescent="0.25">
      <c r="A41" t="s">
        <v>242</v>
      </c>
      <c r="B41" s="72">
        <v>38709</v>
      </c>
      <c r="C41">
        <v>196.52</v>
      </c>
      <c r="D41">
        <v>1</v>
      </c>
    </row>
    <row r="42" spans="1:4" x14ac:dyDescent="0.25">
      <c r="A42" t="s">
        <v>86</v>
      </c>
      <c r="B42" s="72">
        <v>41849</v>
      </c>
      <c r="C42">
        <v>22461.45680964</v>
      </c>
      <c r="D42">
        <v>1</v>
      </c>
    </row>
    <row r="43" spans="1:4" x14ac:dyDescent="0.25">
      <c r="A43" t="s">
        <v>243</v>
      </c>
      <c r="B43" s="72">
        <v>42122</v>
      </c>
      <c r="C43">
        <v>9390.5427286199993</v>
      </c>
      <c r="D43">
        <v>1</v>
      </c>
    </row>
    <row r="44" spans="1:4" x14ac:dyDescent="0.25">
      <c r="A44" t="s">
        <v>244</v>
      </c>
      <c r="B44" s="72">
        <v>42480</v>
      </c>
      <c r="C44">
        <v>10466.885065210001</v>
      </c>
      <c r="D44">
        <v>1</v>
      </c>
    </row>
    <row r="45" spans="1:4" x14ac:dyDescent="0.25">
      <c r="A45" t="s">
        <v>245</v>
      </c>
      <c r="B45" s="72">
        <v>42524</v>
      </c>
      <c r="C45">
        <v>10562.33998273</v>
      </c>
      <c r="D45">
        <v>1</v>
      </c>
    </row>
    <row r="46" spans="1:4" x14ac:dyDescent="0.25">
      <c r="A46" t="s">
        <v>246</v>
      </c>
      <c r="B46" s="72">
        <v>41967</v>
      </c>
      <c r="C46">
        <v>25297.640064309999</v>
      </c>
      <c r="D46">
        <v>1</v>
      </c>
    </row>
    <row r="47" spans="1:4" x14ac:dyDescent="0.25">
      <c r="A47" t="s">
        <v>247</v>
      </c>
      <c r="B47" s="72">
        <v>41849</v>
      </c>
      <c r="C47">
        <v>4482.8823280400002</v>
      </c>
      <c r="D47">
        <v>1</v>
      </c>
    </row>
    <row r="48" spans="1:4" x14ac:dyDescent="0.25">
      <c r="A48" t="s">
        <v>248</v>
      </c>
      <c r="B48" s="72">
        <v>41849</v>
      </c>
      <c r="C48">
        <v>4264.0820106800002</v>
      </c>
      <c r="D48">
        <v>1</v>
      </c>
    </row>
    <row r="49" spans="1:4" x14ac:dyDescent="0.25">
      <c r="A49" t="s">
        <v>88</v>
      </c>
      <c r="B49" s="72">
        <v>41849</v>
      </c>
      <c r="C49">
        <v>4599.9677435399999</v>
      </c>
      <c r="D49">
        <v>1</v>
      </c>
    </row>
    <row r="50" spans="1:4" x14ac:dyDescent="0.25">
      <c r="A50" t="s">
        <v>62</v>
      </c>
      <c r="B50" s="72">
        <v>37515</v>
      </c>
      <c r="C50">
        <v>3456.48</v>
      </c>
      <c r="D50">
        <v>1</v>
      </c>
    </row>
    <row r="51" spans="1:4" x14ac:dyDescent="0.25">
      <c r="A51" t="s">
        <v>249</v>
      </c>
      <c r="B51" s="72">
        <v>39629</v>
      </c>
      <c r="C51">
        <v>51541.23</v>
      </c>
      <c r="D51">
        <v>1</v>
      </c>
    </row>
    <row r="52" spans="1:4" x14ac:dyDescent="0.25">
      <c r="A52" t="s">
        <v>250</v>
      </c>
      <c r="B52" s="72">
        <v>37970</v>
      </c>
      <c r="C52">
        <v>1201.19</v>
      </c>
      <c r="D52">
        <v>1</v>
      </c>
    </row>
    <row r="53" spans="1:4" x14ac:dyDescent="0.25">
      <c r="A53" t="s">
        <v>99</v>
      </c>
      <c r="B53" s="72">
        <v>39587</v>
      </c>
      <c r="C53">
        <v>146.47999999999999</v>
      </c>
      <c r="D53">
        <v>1</v>
      </c>
    </row>
    <row r="54" spans="1:4" x14ac:dyDescent="0.25">
      <c r="A54" t="s">
        <v>100</v>
      </c>
      <c r="B54" s="72">
        <v>39590</v>
      </c>
      <c r="C54">
        <v>12608.67</v>
      </c>
      <c r="D54">
        <v>1</v>
      </c>
    </row>
    <row r="55" spans="1:4" x14ac:dyDescent="0.25">
      <c r="A55" t="s">
        <v>251</v>
      </c>
      <c r="B55" s="72">
        <v>38009</v>
      </c>
      <c r="C55">
        <v>999.63</v>
      </c>
      <c r="D55">
        <v>1</v>
      </c>
    </row>
    <row r="56" spans="1:4" x14ac:dyDescent="0.25">
      <c r="A56" t="s">
        <v>252</v>
      </c>
      <c r="B56" s="72">
        <v>42339</v>
      </c>
      <c r="C56">
        <v>56242.231982290003</v>
      </c>
      <c r="D56">
        <v>1</v>
      </c>
    </row>
    <row r="57" spans="1:4" x14ac:dyDescent="0.25">
      <c r="A57" t="s">
        <v>253</v>
      </c>
      <c r="B57" s="72">
        <v>39604</v>
      </c>
      <c r="C57">
        <v>61121.71</v>
      </c>
      <c r="D57">
        <v>1</v>
      </c>
    </row>
    <row r="58" spans="1:4" x14ac:dyDescent="0.25">
      <c r="A58" t="s">
        <v>254</v>
      </c>
      <c r="B58" s="72">
        <v>39590</v>
      </c>
      <c r="C58">
        <v>50553.22</v>
      </c>
      <c r="D58">
        <v>1</v>
      </c>
    </row>
    <row r="59" spans="1:4" x14ac:dyDescent="0.25">
      <c r="A59" t="s">
        <v>55</v>
      </c>
      <c r="B59" s="72">
        <v>42312</v>
      </c>
      <c r="C59">
        <v>49081.0138716</v>
      </c>
      <c r="D59">
        <v>1</v>
      </c>
    </row>
    <row r="60" spans="1:4" x14ac:dyDescent="0.25">
      <c r="A60" t="s">
        <v>44</v>
      </c>
      <c r="B60" s="72">
        <v>42480</v>
      </c>
      <c r="C60">
        <v>77790.256752989997</v>
      </c>
      <c r="D60">
        <v>1</v>
      </c>
    </row>
    <row r="61" spans="1:4" x14ac:dyDescent="0.25">
      <c r="A61" t="s">
        <v>46</v>
      </c>
      <c r="B61" s="72">
        <v>42144</v>
      </c>
      <c r="C61">
        <v>62435.682638099999</v>
      </c>
      <c r="D61">
        <v>1</v>
      </c>
    </row>
    <row r="62" spans="1:4" x14ac:dyDescent="0.25">
      <c r="A62" t="s">
        <v>42</v>
      </c>
      <c r="B62" s="72">
        <v>42118</v>
      </c>
      <c r="C62">
        <v>55188.336977819999</v>
      </c>
      <c r="D62">
        <v>1</v>
      </c>
    </row>
    <row r="63" spans="1:4" x14ac:dyDescent="0.25">
      <c r="A63" t="s">
        <v>48</v>
      </c>
      <c r="B63" s="72">
        <v>42506</v>
      </c>
      <c r="C63">
        <v>7167.2950861700001</v>
      </c>
      <c r="D63">
        <v>1</v>
      </c>
    </row>
    <row r="64" spans="1:4" x14ac:dyDescent="0.25">
      <c r="A64" t="s">
        <v>255</v>
      </c>
      <c r="B64" s="72">
        <v>40662</v>
      </c>
      <c r="C64">
        <v>4825.42</v>
      </c>
      <c r="D64">
        <v>1</v>
      </c>
    </row>
    <row r="65" spans="1:4" x14ac:dyDescent="0.25">
      <c r="A65" t="s">
        <v>60</v>
      </c>
      <c r="B65" s="72">
        <v>39590</v>
      </c>
      <c r="C65">
        <v>77308.45</v>
      </c>
      <c r="D65">
        <v>1</v>
      </c>
    </row>
    <row r="66" spans="1:4" x14ac:dyDescent="0.25">
      <c r="A66" t="s">
        <v>64</v>
      </c>
      <c r="B66" s="72">
        <v>42520</v>
      </c>
      <c r="C66">
        <v>74332.170788069998</v>
      </c>
      <c r="D66">
        <v>1</v>
      </c>
    </row>
    <row r="67" spans="1:4" x14ac:dyDescent="0.25">
      <c r="A67" t="s">
        <v>66</v>
      </c>
      <c r="B67" s="72">
        <v>42118</v>
      </c>
      <c r="C67">
        <v>17911.36431723</v>
      </c>
      <c r="D67">
        <v>1</v>
      </c>
    </row>
    <row r="68" spans="1:4" x14ac:dyDescent="0.25">
      <c r="A68" t="s">
        <v>68</v>
      </c>
      <c r="B68" s="72">
        <v>42312</v>
      </c>
      <c r="C68">
        <v>77813.852225080002</v>
      </c>
      <c r="D68">
        <v>1</v>
      </c>
    </row>
    <row r="69" spans="1:4" x14ac:dyDescent="0.25">
      <c r="A69" t="s">
        <v>102</v>
      </c>
      <c r="B69" s="72">
        <v>42346</v>
      </c>
      <c r="C69">
        <v>1703.8449540300001</v>
      </c>
      <c r="D69">
        <v>1</v>
      </c>
    </row>
    <row r="70" spans="1:4" x14ac:dyDescent="0.25">
      <c r="A70" t="s">
        <v>103</v>
      </c>
      <c r="B70" s="72">
        <v>38723</v>
      </c>
      <c r="C70">
        <v>641.64</v>
      </c>
      <c r="D70">
        <v>1</v>
      </c>
    </row>
    <row r="71" spans="1:4" x14ac:dyDescent="0.25">
      <c r="A71" t="s">
        <v>105</v>
      </c>
      <c r="B71" s="72">
        <v>39400</v>
      </c>
      <c r="C71">
        <v>5041.9399999999996</v>
      </c>
      <c r="D71">
        <v>1</v>
      </c>
    </row>
    <row r="72" spans="1:4" x14ac:dyDescent="0.25">
      <c r="A72" t="s">
        <v>256</v>
      </c>
      <c r="B72" s="72">
        <v>39400</v>
      </c>
      <c r="C72">
        <v>2186.16</v>
      </c>
      <c r="D72">
        <v>1</v>
      </c>
    </row>
    <row r="73" spans="1:4" x14ac:dyDescent="0.25">
      <c r="A73" t="s">
        <v>257</v>
      </c>
      <c r="B73" s="72">
        <v>39384</v>
      </c>
      <c r="C73">
        <v>92.671239999999997</v>
      </c>
      <c r="D73">
        <v>1</v>
      </c>
    </row>
    <row r="74" spans="1:4" x14ac:dyDescent="0.25">
      <c r="A74" t="s">
        <v>258</v>
      </c>
      <c r="B74" s="72">
        <v>42520</v>
      </c>
      <c r="C74">
        <v>335.62757864000002</v>
      </c>
      <c r="D74">
        <v>1</v>
      </c>
    </row>
    <row r="75" spans="1:4" x14ac:dyDescent="0.25">
      <c r="A75" t="s">
        <v>259</v>
      </c>
      <c r="B75" s="72">
        <v>41824</v>
      </c>
      <c r="C75">
        <v>253.72994224000001</v>
      </c>
      <c r="D75">
        <v>1</v>
      </c>
    </row>
    <row r="76" spans="1:4" x14ac:dyDescent="0.25">
      <c r="A76" t="s">
        <v>260</v>
      </c>
      <c r="B76" s="72">
        <v>42349</v>
      </c>
      <c r="C76">
        <v>193.77286846000001</v>
      </c>
      <c r="D76">
        <v>1</v>
      </c>
    </row>
    <row r="77" spans="1:4" x14ac:dyDescent="0.25">
      <c r="A77" t="s">
        <v>261</v>
      </c>
      <c r="B77" s="72">
        <v>42520</v>
      </c>
      <c r="C77">
        <v>435.48899929999999</v>
      </c>
      <c r="D77">
        <v>1</v>
      </c>
    </row>
    <row r="78" spans="1:4" x14ac:dyDescent="0.25">
      <c r="A78" t="s">
        <v>262</v>
      </c>
      <c r="B78" s="72">
        <v>42312</v>
      </c>
      <c r="C78">
        <v>8236.4463907900008</v>
      </c>
      <c r="D78">
        <v>1</v>
      </c>
    </row>
    <row r="79" spans="1:4" x14ac:dyDescent="0.25">
      <c r="A79" t="s">
        <v>263</v>
      </c>
      <c r="B79" s="72">
        <v>40926</v>
      </c>
      <c r="C79">
        <v>1131.78</v>
      </c>
      <c r="D79">
        <v>1</v>
      </c>
    </row>
    <row r="80" spans="1:4" x14ac:dyDescent="0.25">
      <c r="A80" t="s">
        <v>90</v>
      </c>
      <c r="B80" s="72">
        <v>42107</v>
      </c>
      <c r="C80">
        <v>672.08047084999998</v>
      </c>
      <c r="D80">
        <v>1</v>
      </c>
    </row>
    <row r="81" spans="1:4" x14ac:dyDescent="0.25">
      <c r="A81" t="s">
        <v>92</v>
      </c>
      <c r="B81" s="72">
        <v>42305</v>
      </c>
      <c r="C81">
        <v>597.8558587</v>
      </c>
      <c r="D81">
        <v>1</v>
      </c>
    </row>
    <row r="82" spans="1:4" x14ac:dyDescent="0.25">
      <c r="A82" t="s">
        <v>264</v>
      </c>
      <c r="B82" s="72">
        <v>42032</v>
      </c>
      <c r="C82">
        <v>695.5143372</v>
      </c>
      <c r="D82">
        <v>1</v>
      </c>
    </row>
    <row r="83" spans="1:4" x14ac:dyDescent="0.25">
      <c r="A83" t="s">
        <v>265</v>
      </c>
      <c r="B83" s="72">
        <v>41411</v>
      </c>
      <c r="C83">
        <v>2240.63</v>
      </c>
      <c r="D83">
        <v>1</v>
      </c>
    </row>
    <row r="84" spans="1:4" x14ac:dyDescent="0.25">
      <c r="A84" t="s">
        <v>266</v>
      </c>
      <c r="B84" s="72">
        <v>42520</v>
      </c>
      <c r="C84">
        <v>82077.662416840001</v>
      </c>
      <c r="D84">
        <v>1</v>
      </c>
    </row>
    <row r="85" spans="1:4" x14ac:dyDescent="0.25">
      <c r="A85" t="s">
        <v>94</v>
      </c>
      <c r="B85" s="72">
        <v>39590</v>
      </c>
      <c r="C85">
        <v>42495.61</v>
      </c>
      <c r="D85">
        <v>1</v>
      </c>
    </row>
    <row r="86" spans="1:4" x14ac:dyDescent="0.25">
      <c r="A86" t="s">
        <v>267</v>
      </c>
      <c r="B86" s="72">
        <v>42048</v>
      </c>
      <c r="C86">
        <v>246.82307969999999</v>
      </c>
      <c r="D86">
        <v>1</v>
      </c>
    </row>
    <row r="87" spans="1:4" x14ac:dyDescent="0.25">
      <c r="A87" t="s">
        <v>268</v>
      </c>
      <c r="B87" s="72">
        <v>42122</v>
      </c>
      <c r="C87">
        <v>10462.682748179999</v>
      </c>
      <c r="D87">
        <v>1</v>
      </c>
    </row>
    <row r="88" spans="1:4" x14ac:dyDescent="0.25">
      <c r="A88" t="s">
        <v>269</v>
      </c>
      <c r="B88" s="72">
        <v>42122</v>
      </c>
      <c r="C88">
        <v>9914.4898120199996</v>
      </c>
      <c r="D88">
        <v>1</v>
      </c>
    </row>
    <row r="89" spans="1:4" x14ac:dyDescent="0.25">
      <c r="A89" t="s">
        <v>270</v>
      </c>
      <c r="B89" s="72">
        <v>42544</v>
      </c>
      <c r="C89">
        <v>177.14090324</v>
      </c>
      <c r="D89">
        <v>1</v>
      </c>
    </row>
    <row r="90" spans="1:4" x14ac:dyDescent="0.25">
      <c r="A90" t="s">
        <v>271</v>
      </c>
      <c r="B90" s="72">
        <v>39226</v>
      </c>
      <c r="C90">
        <v>30904.43</v>
      </c>
      <c r="D90">
        <v>1</v>
      </c>
    </row>
    <row r="91" spans="1:4" x14ac:dyDescent="0.25">
      <c r="A91" t="s">
        <v>272</v>
      </c>
      <c r="B91" s="72">
        <v>41655</v>
      </c>
      <c r="C91">
        <v>9348.2787054399996</v>
      </c>
      <c r="D91">
        <v>1</v>
      </c>
    </row>
    <row r="92" spans="1:4" x14ac:dyDescent="0.25">
      <c r="A92" t="s">
        <v>273</v>
      </c>
      <c r="B92" s="72">
        <v>41800</v>
      </c>
      <c r="C92">
        <v>210.35973263</v>
      </c>
      <c r="D92">
        <v>1</v>
      </c>
    </row>
    <row r="93" spans="1:4" x14ac:dyDescent="0.25">
      <c r="A93" t="s">
        <v>274</v>
      </c>
      <c r="B93" s="72">
        <v>42193</v>
      </c>
      <c r="C93">
        <v>3470.8482101700001</v>
      </c>
      <c r="D93">
        <v>1</v>
      </c>
    </row>
    <row r="94" spans="1:4" x14ac:dyDescent="0.25">
      <c r="A94" t="s">
        <v>275</v>
      </c>
      <c r="B94" s="72">
        <v>42122</v>
      </c>
      <c r="C94">
        <v>10348.20134439</v>
      </c>
      <c r="D94">
        <v>1</v>
      </c>
    </row>
    <row r="95" spans="1:4" x14ac:dyDescent="0.25">
      <c r="A95" t="s">
        <v>276</v>
      </c>
      <c r="B95" s="72">
        <v>42548</v>
      </c>
      <c r="C95">
        <v>10305.865100000001</v>
      </c>
      <c r="D95">
        <v>1</v>
      </c>
    </row>
    <row r="96" spans="1:4" x14ac:dyDescent="0.25">
      <c r="A96" t="s">
        <v>277</v>
      </c>
      <c r="B96" s="72">
        <v>42122</v>
      </c>
      <c r="C96">
        <v>26558.425318059999</v>
      </c>
      <c r="D96">
        <v>1</v>
      </c>
    </row>
    <row r="97" spans="1:4" x14ac:dyDescent="0.25">
      <c r="A97" t="s">
        <v>57</v>
      </c>
      <c r="B97" s="72">
        <v>42118</v>
      </c>
      <c r="C97">
        <v>26143.228642859998</v>
      </c>
      <c r="D97">
        <v>1</v>
      </c>
    </row>
    <row r="98" spans="1:4" x14ac:dyDescent="0.25">
      <c r="A98" t="s">
        <v>50</v>
      </c>
      <c r="B98" s="72">
        <v>42118</v>
      </c>
      <c r="C98">
        <v>27992.528654580001</v>
      </c>
      <c r="D98">
        <v>1</v>
      </c>
    </row>
    <row r="99" spans="1:4" x14ac:dyDescent="0.25">
      <c r="A99" t="s">
        <v>278</v>
      </c>
      <c r="B99" s="72">
        <v>40588</v>
      </c>
      <c r="C99">
        <v>24209.279999999999</v>
      </c>
      <c r="D99">
        <v>1</v>
      </c>
    </row>
    <row r="100" spans="1:4" x14ac:dyDescent="0.25">
      <c r="A100" t="s">
        <v>96</v>
      </c>
      <c r="B100" s="72">
        <v>42129</v>
      </c>
      <c r="C100">
        <v>431.46959335999998</v>
      </c>
      <c r="D100">
        <v>1</v>
      </c>
    </row>
    <row r="101" spans="1:4" x14ac:dyDescent="0.25">
      <c r="A101" t="s">
        <v>98</v>
      </c>
      <c r="B101" s="72">
        <v>42520</v>
      </c>
      <c r="C101">
        <v>635.35784243000001</v>
      </c>
      <c r="D101">
        <v>1</v>
      </c>
    </row>
    <row r="102" spans="1:4" x14ac:dyDescent="0.25">
      <c r="A102" t="s">
        <v>279</v>
      </c>
      <c r="B102" s="72">
        <v>41689</v>
      </c>
      <c r="C102">
        <v>10314.608568510001</v>
      </c>
      <c r="D102">
        <v>1</v>
      </c>
    </row>
    <row r="103" spans="1:4" x14ac:dyDescent="0.25">
      <c r="A103" t="s">
        <v>280</v>
      </c>
      <c r="B103" s="72">
        <v>42520</v>
      </c>
      <c r="C103">
        <v>335.45749834999998</v>
      </c>
      <c r="D103">
        <v>1</v>
      </c>
    </row>
    <row r="104" spans="1:4" x14ac:dyDescent="0.25">
      <c r="A104" t="s">
        <v>281</v>
      </c>
      <c r="B104" s="72">
        <v>41893</v>
      </c>
      <c r="C104">
        <v>83071.234493240001</v>
      </c>
      <c r="D104">
        <v>1</v>
      </c>
    </row>
    <row r="105" spans="1:4" x14ac:dyDescent="0.25">
      <c r="A105" t="s">
        <v>282</v>
      </c>
      <c r="B105" s="72">
        <v>42460</v>
      </c>
      <c r="C105">
        <v>664.66121383999996</v>
      </c>
      <c r="D105">
        <v>1</v>
      </c>
    </row>
    <row r="106" spans="1:4" x14ac:dyDescent="0.25">
      <c r="A106" t="s">
        <v>283</v>
      </c>
      <c r="B106" s="72">
        <v>38840</v>
      </c>
      <c r="C106">
        <v>2905.13</v>
      </c>
      <c r="D106">
        <v>1</v>
      </c>
    </row>
    <row r="107" spans="1:4" x14ac:dyDescent="0.25">
      <c r="A107" t="s">
        <v>284</v>
      </c>
      <c r="B107" s="72">
        <v>42312</v>
      </c>
      <c r="C107">
        <v>1204.3085317499999</v>
      </c>
      <c r="D107">
        <v>1</v>
      </c>
    </row>
    <row r="108" spans="1:4" x14ac:dyDescent="0.25">
      <c r="A108" t="s">
        <v>285</v>
      </c>
      <c r="B108" s="72">
        <v>42521</v>
      </c>
      <c r="C108">
        <v>12393.618495070001</v>
      </c>
      <c r="D108">
        <v>1</v>
      </c>
    </row>
    <row r="109" spans="1:4" x14ac:dyDescent="0.25">
      <c r="A109" t="s">
        <v>286</v>
      </c>
      <c r="B109" s="72">
        <v>40934</v>
      </c>
      <c r="C109">
        <v>2257.3200000000002</v>
      </c>
      <c r="D109">
        <v>1</v>
      </c>
    </row>
    <row r="110" spans="1:4" x14ac:dyDescent="0.25">
      <c r="A110" t="s">
        <v>59</v>
      </c>
      <c r="B110" s="72">
        <v>42118</v>
      </c>
      <c r="C110">
        <v>11199.97726648</v>
      </c>
      <c r="D110">
        <v>1</v>
      </c>
    </row>
    <row r="111" spans="1:4" x14ac:dyDescent="0.25">
      <c r="A111" t="s">
        <v>52</v>
      </c>
      <c r="B111" s="72">
        <v>42118</v>
      </c>
      <c r="C111">
        <v>12381.899096659999</v>
      </c>
      <c r="D111">
        <v>1</v>
      </c>
    </row>
    <row r="112" spans="1:4" x14ac:dyDescent="0.25">
      <c r="A112" t="s">
        <v>287</v>
      </c>
      <c r="B112" s="72">
        <v>42117</v>
      </c>
      <c r="C112">
        <v>12915.166717239999</v>
      </c>
      <c r="D112">
        <v>1</v>
      </c>
    </row>
    <row r="113" spans="1:4" x14ac:dyDescent="0.25">
      <c r="A113" t="s">
        <v>288</v>
      </c>
      <c r="B113" s="72">
        <v>42030</v>
      </c>
      <c r="C113">
        <v>42581.471937620001</v>
      </c>
      <c r="D113">
        <v>1</v>
      </c>
    </row>
    <row r="114" spans="1:4" x14ac:dyDescent="0.25">
      <c r="A114" t="s">
        <v>289</v>
      </c>
      <c r="B114" s="72">
        <v>42221</v>
      </c>
      <c r="C114">
        <v>5959.86148727</v>
      </c>
      <c r="D114">
        <v>1</v>
      </c>
    </row>
    <row r="115" spans="1:4" x14ac:dyDescent="0.25">
      <c r="A115" t="s">
        <v>70</v>
      </c>
      <c r="B115" s="72">
        <v>42195</v>
      </c>
      <c r="C115">
        <v>12613.61476217</v>
      </c>
      <c r="D115">
        <v>1</v>
      </c>
    </row>
    <row r="116" spans="1:4" x14ac:dyDescent="0.25">
      <c r="A116" t="s">
        <v>72</v>
      </c>
      <c r="B116" s="72">
        <v>39590</v>
      </c>
      <c r="C116">
        <v>42763.39</v>
      </c>
      <c r="D116">
        <v>1</v>
      </c>
    </row>
    <row r="117" spans="1:4" x14ac:dyDescent="0.25">
      <c r="A117" t="s">
        <v>74</v>
      </c>
      <c r="B117" s="72">
        <v>42054</v>
      </c>
      <c r="C117">
        <v>48680.69822084</v>
      </c>
      <c r="D117">
        <v>1</v>
      </c>
    </row>
    <row r="118" spans="1:4" x14ac:dyDescent="0.25">
      <c r="A118" t="s">
        <v>75</v>
      </c>
      <c r="B118" s="72">
        <v>42520</v>
      </c>
      <c r="C118">
        <v>82900.72771716</v>
      </c>
      <c r="D118">
        <v>1</v>
      </c>
    </row>
    <row r="119" spans="1:4" x14ac:dyDescent="0.25">
      <c r="A119" t="s">
        <v>290</v>
      </c>
      <c r="B119" s="72">
        <v>42464</v>
      </c>
      <c r="C119">
        <v>10970.434713459999</v>
      </c>
      <c r="D119">
        <v>1</v>
      </c>
    </row>
    <row r="120" spans="1:4" x14ac:dyDescent="0.25">
      <c r="A120" t="s">
        <v>291</v>
      </c>
      <c r="B120" s="72">
        <v>42104</v>
      </c>
      <c r="C120">
        <v>8893.6030994499997</v>
      </c>
      <c r="D120">
        <v>1</v>
      </c>
    </row>
    <row r="121" spans="1:4" x14ac:dyDescent="0.25">
      <c r="A121" t="s">
        <v>84</v>
      </c>
      <c r="B121" s="72">
        <v>41893</v>
      </c>
      <c r="C121">
        <v>95446.135778840006</v>
      </c>
      <c r="D121">
        <v>1</v>
      </c>
    </row>
    <row r="122" spans="1:4" x14ac:dyDescent="0.25">
      <c r="A122" t="s">
        <v>76</v>
      </c>
      <c r="B122" s="72">
        <v>42528</v>
      </c>
      <c r="C122">
        <v>19012.164133769998</v>
      </c>
      <c r="D122">
        <v>1</v>
      </c>
    </row>
    <row r="123" spans="1:4" x14ac:dyDescent="0.25">
      <c r="A123" t="s">
        <v>292</v>
      </c>
      <c r="B123" s="72">
        <v>42521</v>
      </c>
      <c r="C123">
        <v>502.95199658000001</v>
      </c>
      <c r="D123">
        <v>1</v>
      </c>
    </row>
    <row r="124" spans="1:4" x14ac:dyDescent="0.25">
      <c r="A124" t="s">
        <v>82</v>
      </c>
      <c r="B124" s="72">
        <v>41887</v>
      </c>
      <c r="C124">
        <v>12367.595227940001</v>
      </c>
      <c r="D124">
        <v>1</v>
      </c>
    </row>
    <row r="125" spans="1:4" x14ac:dyDescent="0.25">
      <c r="A125" t="s">
        <v>293</v>
      </c>
      <c r="B125" s="72">
        <v>42129</v>
      </c>
      <c r="C125">
        <v>6745.1506683999996</v>
      </c>
      <c r="D125">
        <v>1</v>
      </c>
    </row>
    <row r="126" spans="1:4" x14ac:dyDescent="0.25">
      <c r="A126" t="s">
        <v>78</v>
      </c>
      <c r="B126" s="72">
        <v>42117</v>
      </c>
      <c r="C126">
        <v>46982.462386940002</v>
      </c>
      <c r="D126">
        <v>1</v>
      </c>
    </row>
    <row r="127" spans="1:4" x14ac:dyDescent="0.25">
      <c r="A127" t="s">
        <v>80</v>
      </c>
      <c r="B127" s="72">
        <v>42222</v>
      </c>
      <c r="C127">
        <v>71088.506129760004</v>
      </c>
      <c r="D127">
        <v>1</v>
      </c>
    </row>
    <row r="128" spans="1:4" x14ac:dyDescent="0.25">
      <c r="A128" t="s">
        <v>294</v>
      </c>
      <c r="B128" s="72">
        <v>42118</v>
      </c>
      <c r="C128">
        <v>9587.6273460499997</v>
      </c>
      <c r="D128">
        <v>1</v>
      </c>
    </row>
    <row r="129" spans="1:4" x14ac:dyDescent="0.25">
      <c r="A129" t="s">
        <v>295</v>
      </c>
      <c r="B129" s="72">
        <v>42066</v>
      </c>
      <c r="C129">
        <v>2714.9080461899998</v>
      </c>
      <c r="D129">
        <v>1</v>
      </c>
    </row>
    <row r="130" spans="1:4" x14ac:dyDescent="0.25">
      <c r="A130" t="s">
        <v>296</v>
      </c>
      <c r="B130" s="72">
        <v>41887</v>
      </c>
      <c r="C130">
        <v>417.67220522999997</v>
      </c>
      <c r="D130">
        <v>1</v>
      </c>
    </row>
    <row r="131" spans="1:4" x14ac:dyDescent="0.25">
      <c r="A131" t="s">
        <v>297</v>
      </c>
      <c r="B131" s="72">
        <v>42117</v>
      </c>
      <c r="C131">
        <v>8514.8808759999993</v>
      </c>
      <c r="D131">
        <v>1</v>
      </c>
    </row>
    <row r="132" spans="1:4" x14ac:dyDescent="0.25">
      <c r="A132" t="s">
        <v>298</v>
      </c>
      <c r="B132" s="72">
        <v>42479</v>
      </c>
      <c r="C132">
        <v>63458.417149059998</v>
      </c>
      <c r="D132">
        <v>1</v>
      </c>
    </row>
    <row r="133" spans="1:4" x14ac:dyDescent="0.25">
      <c r="A133" t="s">
        <v>299</v>
      </c>
      <c r="B133" s="72">
        <v>42110</v>
      </c>
      <c r="C133">
        <v>45023.057854029998</v>
      </c>
      <c r="D133">
        <v>1</v>
      </c>
    </row>
    <row r="134" spans="1:4" x14ac:dyDescent="0.25">
      <c r="A134" t="s">
        <v>300</v>
      </c>
      <c r="B134" s="72">
        <v>42374</v>
      </c>
      <c r="C134">
        <v>1792.3439825099999</v>
      </c>
      <c r="D134">
        <v>1</v>
      </c>
    </row>
    <row r="135" spans="1:4" x14ac:dyDescent="0.25">
      <c r="A135" t="s">
        <v>167</v>
      </c>
      <c r="B135" s="72">
        <v>42303</v>
      </c>
      <c r="C135">
        <v>1035.8389392900001</v>
      </c>
      <c r="D135">
        <v>1</v>
      </c>
    </row>
    <row r="136" spans="1:4" x14ac:dyDescent="0.25">
      <c r="A136" t="s">
        <v>301</v>
      </c>
      <c r="B136" s="72">
        <v>39209</v>
      </c>
      <c r="C136">
        <v>910.48</v>
      </c>
      <c r="D136">
        <v>1</v>
      </c>
    </row>
    <row r="137" spans="1:4" x14ac:dyDescent="0.25">
      <c r="A137" t="s">
        <v>302</v>
      </c>
      <c r="B137" s="72">
        <v>42334</v>
      </c>
      <c r="C137">
        <v>5012.4318484900004</v>
      </c>
      <c r="D137">
        <v>1</v>
      </c>
    </row>
    <row r="138" spans="1:4" x14ac:dyDescent="0.25">
      <c r="A138" t="s">
        <v>303</v>
      </c>
      <c r="B138" s="72">
        <v>42520</v>
      </c>
      <c r="C138">
        <v>5225.9532321799998</v>
      </c>
      <c r="D138">
        <v>1</v>
      </c>
    </row>
    <row r="139" spans="1:4" x14ac:dyDescent="0.25">
      <c r="A139" t="s">
        <v>304</v>
      </c>
      <c r="B139" s="72">
        <v>42222</v>
      </c>
      <c r="C139">
        <v>1524.0086971600001</v>
      </c>
      <c r="D139">
        <v>1</v>
      </c>
    </row>
    <row r="140" spans="1:4" x14ac:dyDescent="0.25">
      <c r="A140" t="s">
        <v>305</v>
      </c>
      <c r="B140" s="72">
        <v>41492</v>
      </c>
      <c r="C140">
        <v>4293.55</v>
      </c>
      <c r="D140">
        <v>1</v>
      </c>
    </row>
    <row r="141" spans="1:4" x14ac:dyDescent="0.25">
      <c r="A141" t="s">
        <v>306</v>
      </c>
      <c r="B141" s="72">
        <v>41849</v>
      </c>
      <c r="C141">
        <v>92.959638409999997</v>
      </c>
      <c r="D141">
        <v>1</v>
      </c>
    </row>
    <row r="142" spans="1:4" x14ac:dyDescent="0.25">
      <c r="A142" t="s">
        <v>307</v>
      </c>
      <c r="B142" s="72">
        <v>41901</v>
      </c>
      <c r="C142">
        <v>131.8028965</v>
      </c>
      <c r="D142">
        <v>1</v>
      </c>
    </row>
    <row r="143" spans="1:4" x14ac:dyDescent="0.25">
      <c r="A143" t="s">
        <v>308</v>
      </c>
      <c r="B143" s="72">
        <v>41901</v>
      </c>
      <c r="C143">
        <v>76.32416241</v>
      </c>
      <c r="D143">
        <v>1</v>
      </c>
    </row>
    <row r="144" spans="1:4" x14ac:dyDescent="0.25">
      <c r="A144" t="s">
        <v>309</v>
      </c>
      <c r="B144" s="72">
        <v>41912</v>
      </c>
      <c r="C144">
        <v>106.4349371</v>
      </c>
      <c r="D144">
        <v>1</v>
      </c>
    </row>
    <row r="145" spans="1:4" x14ac:dyDescent="0.25">
      <c r="A145" t="s">
        <v>310</v>
      </c>
      <c r="B145" s="72">
        <v>42312</v>
      </c>
      <c r="C145">
        <v>49081.0138716</v>
      </c>
      <c r="D145">
        <v>1</v>
      </c>
    </row>
    <row r="146" spans="1:4" x14ac:dyDescent="0.25">
      <c r="A146" t="s">
        <v>311</v>
      </c>
      <c r="B146" s="72">
        <v>41849</v>
      </c>
      <c r="C146">
        <v>4781.8624027899996</v>
      </c>
      <c r="D146">
        <v>1</v>
      </c>
    </row>
    <row r="147" spans="1:4" x14ac:dyDescent="0.25">
      <c r="A147" t="s">
        <v>312</v>
      </c>
      <c r="B147" s="72">
        <v>42118</v>
      </c>
      <c r="C147">
        <v>55188.336977819999</v>
      </c>
      <c r="D147">
        <v>1</v>
      </c>
    </row>
    <row r="148" spans="1:4" x14ac:dyDescent="0.25">
      <c r="A148" t="s">
        <v>313</v>
      </c>
      <c r="B148" s="72">
        <v>42118</v>
      </c>
      <c r="C148">
        <v>12381.899096659999</v>
      </c>
      <c r="D148">
        <v>1</v>
      </c>
    </row>
    <row r="149" spans="1:4" x14ac:dyDescent="0.25">
      <c r="A149" t="s">
        <v>314</v>
      </c>
      <c r="B149" s="72">
        <v>41065</v>
      </c>
      <c r="C149">
        <v>1120.92</v>
      </c>
      <c r="D149">
        <v>1</v>
      </c>
    </row>
    <row r="150" spans="1:4" x14ac:dyDescent="0.25">
      <c r="A150" t="s">
        <v>315</v>
      </c>
      <c r="B150" s="72">
        <v>42122</v>
      </c>
      <c r="C150">
        <v>10462.682748179999</v>
      </c>
      <c r="D150">
        <v>1</v>
      </c>
    </row>
    <row r="151" spans="1:4" x14ac:dyDescent="0.25">
      <c r="A151" t="s">
        <v>316</v>
      </c>
      <c r="B151" s="72">
        <v>41849</v>
      </c>
      <c r="C151">
        <v>4482.8823280400002</v>
      </c>
      <c r="D151">
        <v>1</v>
      </c>
    </row>
    <row r="152" spans="1:4" x14ac:dyDescent="0.25">
      <c r="A152" t="s">
        <v>317</v>
      </c>
      <c r="B152" s="72">
        <v>42118</v>
      </c>
      <c r="C152">
        <v>11199.97726648</v>
      </c>
      <c r="D152">
        <v>1</v>
      </c>
    </row>
    <row r="153" spans="1:4" x14ac:dyDescent="0.25">
      <c r="A153" t="s">
        <v>318</v>
      </c>
      <c r="B153" s="72">
        <v>42195</v>
      </c>
      <c r="C153">
        <v>28365.040000000001</v>
      </c>
      <c r="D153">
        <v>1</v>
      </c>
    </row>
    <row r="154" spans="1:4" x14ac:dyDescent="0.25">
      <c r="A154" t="s">
        <v>319</v>
      </c>
      <c r="B154" s="72">
        <v>41967</v>
      </c>
      <c r="C154">
        <v>9721.7199999999993</v>
      </c>
      <c r="D154">
        <v>1</v>
      </c>
    </row>
    <row r="155" spans="1:4" x14ac:dyDescent="0.25">
      <c r="A155" t="s">
        <v>320</v>
      </c>
      <c r="B155" s="72">
        <v>42520</v>
      </c>
      <c r="C155">
        <v>13679.58</v>
      </c>
      <c r="D155">
        <v>1</v>
      </c>
    </row>
    <row r="156" spans="1:4" x14ac:dyDescent="0.25">
      <c r="A156" t="s">
        <v>321</v>
      </c>
      <c r="B156" s="72">
        <v>41929</v>
      </c>
      <c r="C156">
        <v>4841.3999999999996</v>
      </c>
      <c r="D156">
        <v>1</v>
      </c>
    </row>
    <row r="157" spans="1:4" x14ac:dyDescent="0.25">
      <c r="A157" t="s">
        <v>322</v>
      </c>
      <c r="B157" s="72">
        <v>41904</v>
      </c>
      <c r="C157">
        <v>4959.92</v>
      </c>
      <c r="D157">
        <v>1</v>
      </c>
    </row>
    <row r="158" spans="1:4" x14ac:dyDescent="0.25">
      <c r="A158" t="s">
        <v>323</v>
      </c>
      <c r="B158" s="72">
        <v>41904</v>
      </c>
      <c r="C158">
        <v>5684.71</v>
      </c>
      <c r="D158">
        <v>1</v>
      </c>
    </row>
    <row r="159" spans="1:4" x14ac:dyDescent="0.25">
      <c r="A159" t="s">
        <v>324</v>
      </c>
      <c r="B159" s="72">
        <v>42544</v>
      </c>
      <c r="C159">
        <v>20622.150000000001</v>
      </c>
      <c r="D159">
        <v>1</v>
      </c>
    </row>
    <row r="160" spans="1:4" x14ac:dyDescent="0.25">
      <c r="A160" t="s">
        <v>325</v>
      </c>
      <c r="B160" s="72">
        <v>41904</v>
      </c>
      <c r="C160">
        <v>4598.12</v>
      </c>
      <c r="D160">
        <v>1</v>
      </c>
    </row>
    <row r="161" spans="1:4" x14ac:dyDescent="0.25">
      <c r="A161" t="s">
        <v>326</v>
      </c>
      <c r="B161" s="72">
        <v>42146</v>
      </c>
      <c r="C161">
        <v>12996.36</v>
      </c>
      <c r="D161">
        <v>1</v>
      </c>
    </row>
    <row r="162" spans="1:4" x14ac:dyDescent="0.25">
      <c r="A162" t="s">
        <v>327</v>
      </c>
      <c r="B162" s="72">
        <v>41964</v>
      </c>
      <c r="C162">
        <v>7319.54</v>
      </c>
      <c r="D162">
        <v>1</v>
      </c>
    </row>
    <row r="163" spans="1:4" x14ac:dyDescent="0.25">
      <c r="A163" t="s">
        <v>328</v>
      </c>
      <c r="B163" s="72">
        <v>42193</v>
      </c>
      <c r="C163">
        <v>9363.98</v>
      </c>
      <c r="D163">
        <v>1</v>
      </c>
    </row>
    <row r="164" spans="1:4" x14ac:dyDescent="0.25">
      <c r="A164" t="s">
        <v>329</v>
      </c>
      <c r="B164" s="72">
        <v>41948</v>
      </c>
      <c r="C164">
        <v>15682.48</v>
      </c>
      <c r="D164">
        <v>1</v>
      </c>
    </row>
    <row r="165" spans="1:4" x14ac:dyDescent="0.25">
      <c r="A165" t="s">
        <v>330</v>
      </c>
      <c r="B165" s="72">
        <v>42520</v>
      </c>
      <c r="C165">
        <v>31469.57</v>
      </c>
      <c r="D165">
        <v>1</v>
      </c>
    </row>
    <row r="166" spans="1:4" x14ac:dyDescent="0.25">
      <c r="A166" t="s">
        <v>331</v>
      </c>
      <c r="B166" s="72">
        <v>42038</v>
      </c>
      <c r="C166">
        <v>14969.07</v>
      </c>
      <c r="D166">
        <v>1</v>
      </c>
    </row>
    <row r="167" spans="1:4" x14ac:dyDescent="0.25">
      <c r="A167" t="s">
        <v>332</v>
      </c>
      <c r="B167" s="72">
        <v>42460</v>
      </c>
      <c r="C167">
        <v>25683.33</v>
      </c>
      <c r="D167">
        <v>1</v>
      </c>
    </row>
    <row r="168" spans="1:4" x14ac:dyDescent="0.25">
      <c r="A168" t="s">
        <v>333</v>
      </c>
      <c r="B168" s="72">
        <v>42312</v>
      </c>
      <c r="C168">
        <v>46535.96</v>
      </c>
      <c r="D168">
        <v>1</v>
      </c>
    </row>
    <row r="169" spans="1:4" x14ac:dyDescent="0.25">
      <c r="A169" t="s">
        <v>334</v>
      </c>
      <c r="B169" s="72">
        <v>42521</v>
      </c>
      <c r="C169">
        <v>12168.93</v>
      </c>
      <c r="D169">
        <v>1</v>
      </c>
    </row>
    <row r="170" spans="1:4" x14ac:dyDescent="0.25">
      <c r="A170" t="s">
        <v>335</v>
      </c>
      <c r="B170" s="72">
        <v>42117</v>
      </c>
      <c r="C170">
        <v>27409.74</v>
      </c>
      <c r="D170">
        <v>1</v>
      </c>
    </row>
    <row r="171" spans="1:4" x14ac:dyDescent="0.25">
      <c r="A171" t="s">
        <v>336</v>
      </c>
      <c r="B171" s="72">
        <v>42030</v>
      </c>
      <c r="C171">
        <v>36618.99</v>
      </c>
      <c r="D171">
        <v>1</v>
      </c>
    </row>
    <row r="172" spans="1:4" x14ac:dyDescent="0.25">
      <c r="A172" t="s">
        <v>337</v>
      </c>
      <c r="B172" s="72">
        <v>42464</v>
      </c>
      <c r="C172">
        <v>28528.71</v>
      </c>
      <c r="D172">
        <v>1</v>
      </c>
    </row>
    <row r="173" spans="1:4" x14ac:dyDescent="0.25">
      <c r="A173" t="s">
        <v>338</v>
      </c>
      <c r="B173" s="72">
        <v>42104</v>
      </c>
      <c r="C173">
        <v>15204.51</v>
      </c>
      <c r="D173">
        <v>1</v>
      </c>
    </row>
    <row r="174" spans="1:4" x14ac:dyDescent="0.25">
      <c r="A174" t="s">
        <v>339</v>
      </c>
      <c r="B174" s="72">
        <v>42521</v>
      </c>
      <c r="C174">
        <v>69210.02</v>
      </c>
      <c r="D174">
        <v>1</v>
      </c>
    </row>
    <row r="175" spans="1:4" x14ac:dyDescent="0.25">
      <c r="A175" t="s">
        <v>340</v>
      </c>
      <c r="B175" s="72">
        <v>42129</v>
      </c>
      <c r="C175">
        <v>9003.7099999999991</v>
      </c>
      <c r="D175">
        <v>1</v>
      </c>
    </row>
    <row r="176" spans="1:4" x14ac:dyDescent="0.25">
      <c r="A176" t="s">
        <v>341</v>
      </c>
      <c r="B176" s="72">
        <v>42066</v>
      </c>
      <c r="C176">
        <v>7949.83</v>
      </c>
      <c r="D176">
        <v>1</v>
      </c>
    </row>
    <row r="177" spans="1:4" x14ac:dyDescent="0.25">
      <c r="A177" t="s">
        <v>342</v>
      </c>
      <c r="B177" s="72">
        <v>42122</v>
      </c>
      <c r="C177">
        <v>15553.66</v>
      </c>
      <c r="D177">
        <v>1</v>
      </c>
    </row>
    <row r="178" spans="1:4" x14ac:dyDescent="0.25">
      <c r="A178" t="s">
        <v>343</v>
      </c>
      <c r="B178" s="72">
        <v>42117</v>
      </c>
      <c r="C178">
        <v>11507.83</v>
      </c>
      <c r="D178">
        <v>1</v>
      </c>
    </row>
    <row r="179" spans="1:4" x14ac:dyDescent="0.25">
      <c r="A179" t="s">
        <v>344</v>
      </c>
      <c r="B179" s="72">
        <v>42479</v>
      </c>
      <c r="C179">
        <v>14993.59</v>
      </c>
      <c r="D179">
        <v>1</v>
      </c>
    </row>
    <row r="180" spans="1:4" x14ac:dyDescent="0.25">
      <c r="A180" t="s">
        <v>345</v>
      </c>
      <c r="B180" s="72">
        <v>42104</v>
      </c>
      <c r="C180">
        <v>14152.32</v>
      </c>
      <c r="D180">
        <v>1</v>
      </c>
    </row>
    <row r="181" spans="1:4" x14ac:dyDescent="0.25">
      <c r="A181" t="s">
        <v>346</v>
      </c>
      <c r="B181" s="72">
        <v>42374</v>
      </c>
      <c r="C181">
        <v>13453.03</v>
      </c>
      <c r="D181">
        <v>1</v>
      </c>
    </row>
    <row r="182" spans="1:4" x14ac:dyDescent="0.25">
      <c r="A182" t="s">
        <v>347</v>
      </c>
      <c r="B182" s="72">
        <v>42303</v>
      </c>
      <c r="C182">
        <v>7915.02</v>
      </c>
      <c r="D182">
        <v>1</v>
      </c>
    </row>
    <row r="183" spans="1:4" x14ac:dyDescent="0.25">
      <c r="A183" t="s">
        <v>348</v>
      </c>
      <c r="B183" s="72">
        <v>42310</v>
      </c>
      <c r="C183">
        <v>11222.21</v>
      </c>
      <c r="D183">
        <v>1</v>
      </c>
    </row>
    <row r="184" spans="1:4" x14ac:dyDescent="0.25">
      <c r="A184" t="s">
        <v>349</v>
      </c>
      <c r="B184" s="72">
        <v>42520</v>
      </c>
      <c r="C184">
        <v>11861.15</v>
      </c>
      <c r="D184">
        <v>1</v>
      </c>
    </row>
    <row r="185" spans="1:4" x14ac:dyDescent="0.25">
      <c r="A185" t="s">
        <v>350</v>
      </c>
      <c r="B185" s="72">
        <v>42222</v>
      </c>
      <c r="C185">
        <v>28083.96</v>
      </c>
      <c r="D185">
        <v>1</v>
      </c>
    </row>
    <row r="186" spans="1:4" x14ac:dyDescent="0.25">
      <c r="A186" t="s">
        <v>351</v>
      </c>
      <c r="B186" s="72">
        <v>41947</v>
      </c>
      <c r="C186">
        <v>7127.6</v>
      </c>
      <c r="D186">
        <v>1</v>
      </c>
    </row>
    <row r="187" spans="1:4" x14ac:dyDescent="0.25">
      <c r="A187" t="s">
        <v>352</v>
      </c>
      <c r="B187" s="72">
        <v>42195</v>
      </c>
      <c r="C187">
        <v>28365.040000000001</v>
      </c>
      <c r="D187">
        <v>1</v>
      </c>
    </row>
    <row r="188" spans="1:4" x14ac:dyDescent="0.25">
      <c r="A188" t="s">
        <v>353</v>
      </c>
      <c r="B188" s="72">
        <v>41904</v>
      </c>
      <c r="C188">
        <v>5480.24</v>
      </c>
      <c r="D188">
        <v>1</v>
      </c>
    </row>
    <row r="189" spans="1:4" x14ac:dyDescent="0.25">
      <c r="A189" t="s">
        <v>354</v>
      </c>
      <c r="B189" s="72">
        <v>42054</v>
      </c>
      <c r="C189">
        <v>10874.67</v>
      </c>
      <c r="D189">
        <v>1</v>
      </c>
    </row>
    <row r="190" spans="1:4" x14ac:dyDescent="0.25">
      <c r="A190" t="s">
        <v>355</v>
      </c>
      <c r="B190" s="72">
        <v>42520</v>
      </c>
      <c r="C190">
        <v>26408.99</v>
      </c>
      <c r="D190">
        <v>1</v>
      </c>
    </row>
    <row r="191" spans="1:4" x14ac:dyDescent="0.25">
      <c r="A191" t="s">
        <v>356</v>
      </c>
      <c r="B191" s="72">
        <v>42069</v>
      </c>
      <c r="C191">
        <v>31823.85</v>
      </c>
      <c r="D191">
        <v>1</v>
      </c>
    </row>
    <row r="192" spans="1:4" x14ac:dyDescent="0.25">
      <c r="A192" t="s">
        <v>357</v>
      </c>
      <c r="B192" s="72">
        <v>42528</v>
      </c>
      <c r="C192">
        <v>32092.58</v>
      </c>
      <c r="D192">
        <v>1</v>
      </c>
    </row>
    <row r="193" spans="1:4" x14ac:dyDescent="0.25">
      <c r="A193" t="s">
        <v>358</v>
      </c>
      <c r="B193" s="72">
        <v>42122</v>
      </c>
      <c r="C193">
        <v>13908.83</v>
      </c>
      <c r="D193">
        <v>1</v>
      </c>
    </row>
    <row r="194" spans="1:4" x14ac:dyDescent="0.25">
      <c r="A194" t="s">
        <v>359</v>
      </c>
      <c r="B194" s="72">
        <v>42117</v>
      </c>
      <c r="C194">
        <v>11227.41</v>
      </c>
      <c r="D194">
        <v>1</v>
      </c>
    </row>
    <row r="195" spans="1:4" x14ac:dyDescent="0.25">
      <c r="A195" t="s">
        <v>360</v>
      </c>
      <c r="B195" s="72">
        <v>42222</v>
      </c>
      <c r="C195">
        <v>26117.47</v>
      </c>
      <c r="D195">
        <v>1</v>
      </c>
    </row>
    <row r="196" spans="1:4" x14ac:dyDescent="0.25">
      <c r="A196" t="s">
        <v>361</v>
      </c>
      <c r="B196" s="72">
        <v>41904</v>
      </c>
      <c r="C196">
        <v>6904.09</v>
      </c>
      <c r="D196">
        <v>1</v>
      </c>
    </row>
    <row r="197" spans="1:4" x14ac:dyDescent="0.25">
      <c r="A197" t="s">
        <v>362</v>
      </c>
      <c r="B197" s="72">
        <v>42528</v>
      </c>
      <c r="C197">
        <v>20097.04</v>
      </c>
      <c r="D197">
        <v>1</v>
      </c>
    </row>
    <row r="198" spans="1:4" x14ac:dyDescent="0.25">
      <c r="A198" t="s">
        <v>363</v>
      </c>
      <c r="B198" s="72">
        <v>42118</v>
      </c>
      <c r="C198">
        <v>14632.12</v>
      </c>
      <c r="D198">
        <v>1</v>
      </c>
    </row>
    <row r="199" spans="1:4" x14ac:dyDescent="0.25">
      <c r="A199" t="s">
        <v>364</v>
      </c>
      <c r="B199" s="72">
        <v>42118</v>
      </c>
      <c r="C199">
        <v>17815.8</v>
      </c>
      <c r="D199">
        <v>1</v>
      </c>
    </row>
    <row r="200" spans="1:4" x14ac:dyDescent="0.25">
      <c r="A200" t="s">
        <v>365</v>
      </c>
      <c r="B200" s="72">
        <v>41904</v>
      </c>
      <c r="C200">
        <v>6817.36</v>
      </c>
      <c r="D200">
        <v>1</v>
      </c>
    </row>
    <row r="201" spans="1:4" x14ac:dyDescent="0.25">
      <c r="A201" t="s">
        <v>366</v>
      </c>
      <c r="B201" s="72">
        <v>42528</v>
      </c>
      <c r="C201">
        <v>18335.7</v>
      </c>
      <c r="D201">
        <v>1</v>
      </c>
    </row>
    <row r="202" spans="1:4" x14ac:dyDescent="0.25">
      <c r="A202" t="s">
        <v>367</v>
      </c>
      <c r="B202" s="72">
        <v>42117</v>
      </c>
      <c r="C202">
        <v>14678.45</v>
      </c>
      <c r="D202">
        <v>1</v>
      </c>
    </row>
    <row r="203" spans="1:4" x14ac:dyDescent="0.25">
      <c r="A203" t="s">
        <v>368</v>
      </c>
      <c r="B203" s="72">
        <v>42118</v>
      </c>
      <c r="C203">
        <v>16848.27</v>
      </c>
      <c r="D203">
        <v>1</v>
      </c>
    </row>
    <row r="204" spans="1:4" x14ac:dyDescent="0.25">
      <c r="A204" t="s">
        <v>369</v>
      </c>
      <c r="B204" s="72">
        <v>42328</v>
      </c>
      <c r="C204">
        <v>35615.594782250002</v>
      </c>
      <c r="D204">
        <v>1</v>
      </c>
    </row>
    <row r="205" spans="1:4" x14ac:dyDescent="0.25">
      <c r="A205" t="s">
        <v>370</v>
      </c>
      <c r="B205" s="72">
        <v>37469</v>
      </c>
      <c r="C205">
        <v>394.88</v>
      </c>
      <c r="D205">
        <v>1</v>
      </c>
    </row>
    <row r="206" spans="1:4" x14ac:dyDescent="0.25">
      <c r="A206" t="s">
        <v>371</v>
      </c>
      <c r="B206" s="72">
        <v>37469</v>
      </c>
      <c r="C206">
        <v>394.88</v>
      </c>
      <c r="D206">
        <v>1</v>
      </c>
    </row>
    <row r="207" spans="1:4" x14ac:dyDescent="0.25">
      <c r="A207" t="s">
        <v>372</v>
      </c>
      <c r="B207" s="72">
        <v>38665</v>
      </c>
      <c r="C207">
        <v>225.62</v>
      </c>
      <c r="D207">
        <v>1</v>
      </c>
    </row>
    <row r="208" spans="1:4" x14ac:dyDescent="0.25">
      <c r="A208" t="s">
        <v>373</v>
      </c>
      <c r="B208" s="72">
        <v>38665</v>
      </c>
      <c r="C208">
        <v>225.62</v>
      </c>
      <c r="D208">
        <v>1</v>
      </c>
    </row>
    <row r="209" spans="1:4" x14ac:dyDescent="0.25">
      <c r="A209" t="s">
        <v>374</v>
      </c>
      <c r="B209" s="72">
        <v>38624</v>
      </c>
      <c r="C209">
        <v>173.45</v>
      </c>
      <c r="D209">
        <v>1</v>
      </c>
    </row>
    <row r="210" spans="1:4" x14ac:dyDescent="0.25">
      <c r="A210" t="s">
        <v>375</v>
      </c>
      <c r="B210" s="72">
        <v>38624</v>
      </c>
      <c r="C210">
        <v>173.45</v>
      </c>
      <c r="D210">
        <v>1</v>
      </c>
    </row>
    <row r="211" spans="1:4" x14ac:dyDescent="0.25">
      <c r="A211" t="s">
        <v>376</v>
      </c>
      <c r="B211" s="72">
        <v>38027</v>
      </c>
      <c r="C211">
        <v>108.65</v>
      </c>
      <c r="D211">
        <v>1</v>
      </c>
    </row>
    <row r="212" spans="1:4" x14ac:dyDescent="0.25">
      <c r="A212" t="s">
        <v>377</v>
      </c>
      <c r="B212" s="72">
        <v>37757</v>
      </c>
      <c r="C212">
        <v>125</v>
      </c>
      <c r="D212">
        <v>1</v>
      </c>
    </row>
    <row r="213" spans="1:4" x14ac:dyDescent="0.25">
      <c r="A213" t="s">
        <v>378</v>
      </c>
      <c r="B213" s="72">
        <v>38006</v>
      </c>
      <c r="C213">
        <v>106.83</v>
      </c>
      <c r="D213">
        <v>1</v>
      </c>
    </row>
    <row r="214" spans="1:4" x14ac:dyDescent="0.25">
      <c r="A214" t="s">
        <v>379</v>
      </c>
      <c r="B214" s="72">
        <v>38715</v>
      </c>
      <c r="C214">
        <v>508.88</v>
      </c>
      <c r="D214">
        <v>1</v>
      </c>
    </row>
    <row r="215" spans="1:4" x14ac:dyDescent="0.25">
      <c r="A215" t="s">
        <v>380</v>
      </c>
      <c r="B215" s="72">
        <v>38715</v>
      </c>
      <c r="C215">
        <v>510.55</v>
      </c>
      <c r="D215">
        <v>1</v>
      </c>
    </row>
    <row r="216" spans="1:4" x14ac:dyDescent="0.25">
      <c r="A216" t="s">
        <v>381</v>
      </c>
      <c r="B216" s="72">
        <v>38260</v>
      </c>
      <c r="C216">
        <v>730.16</v>
      </c>
      <c r="D216">
        <v>1</v>
      </c>
    </row>
    <row r="217" spans="1:4" x14ac:dyDescent="0.25">
      <c r="A217" t="s">
        <v>382</v>
      </c>
      <c r="B217" s="72">
        <v>38716</v>
      </c>
      <c r="C217">
        <v>250.34</v>
      </c>
      <c r="D217">
        <v>1</v>
      </c>
    </row>
    <row r="218" spans="1:4" x14ac:dyDescent="0.25">
      <c r="A218" t="s">
        <v>383</v>
      </c>
      <c r="B218" s="72">
        <v>38716</v>
      </c>
      <c r="C218">
        <v>250.34</v>
      </c>
      <c r="D218">
        <v>1</v>
      </c>
    </row>
    <row r="219" spans="1:4" x14ac:dyDescent="0.25">
      <c r="A219" t="s">
        <v>384</v>
      </c>
      <c r="B219" s="72">
        <v>38713</v>
      </c>
      <c r="C219">
        <v>185.77</v>
      </c>
      <c r="D219">
        <v>1</v>
      </c>
    </row>
    <row r="220" spans="1:4" x14ac:dyDescent="0.25">
      <c r="A220" t="s">
        <v>385</v>
      </c>
      <c r="B220" s="72">
        <v>38713</v>
      </c>
      <c r="C220">
        <v>232.72</v>
      </c>
      <c r="D220">
        <v>1</v>
      </c>
    </row>
    <row r="221" spans="1:4" x14ac:dyDescent="0.25">
      <c r="A221" t="s">
        <v>386</v>
      </c>
      <c r="B221" s="72">
        <v>38713</v>
      </c>
      <c r="C221">
        <v>137.76</v>
      </c>
      <c r="D221">
        <v>1</v>
      </c>
    </row>
    <row r="222" spans="1:4" x14ac:dyDescent="0.25">
      <c r="A222" t="s">
        <v>387</v>
      </c>
      <c r="B222" s="72">
        <v>38713</v>
      </c>
      <c r="C222">
        <v>141.75</v>
      </c>
      <c r="D222">
        <v>1</v>
      </c>
    </row>
    <row r="223" spans="1:4" x14ac:dyDescent="0.25">
      <c r="A223" t="s">
        <v>388</v>
      </c>
      <c r="B223" s="72">
        <v>38370</v>
      </c>
      <c r="C223">
        <v>242.71</v>
      </c>
      <c r="D223">
        <v>1</v>
      </c>
    </row>
    <row r="224" spans="1:4" x14ac:dyDescent="0.25">
      <c r="A224" t="s">
        <v>389</v>
      </c>
      <c r="B224" s="72">
        <v>38706</v>
      </c>
      <c r="C224">
        <v>128.63</v>
      </c>
      <c r="D224">
        <v>1</v>
      </c>
    </row>
    <row r="225" spans="1:4" x14ac:dyDescent="0.25">
      <c r="A225" t="s">
        <v>390</v>
      </c>
      <c r="B225" s="72">
        <v>38705</v>
      </c>
      <c r="C225">
        <v>217.85</v>
      </c>
      <c r="D225">
        <v>1</v>
      </c>
    </row>
    <row r="226" spans="1:4" x14ac:dyDescent="0.25">
      <c r="A226" t="s">
        <v>391</v>
      </c>
      <c r="B226" s="72">
        <v>42129</v>
      </c>
      <c r="C226">
        <v>1211.2244297899999</v>
      </c>
      <c r="D226">
        <v>1</v>
      </c>
    </row>
    <row r="227" spans="1:4" x14ac:dyDescent="0.25">
      <c r="A227" t="s">
        <v>392</v>
      </c>
      <c r="B227" s="72">
        <v>42522</v>
      </c>
      <c r="C227">
        <v>529.22225323999999</v>
      </c>
      <c r="D227">
        <v>1</v>
      </c>
    </row>
    <row r="228" spans="1:4" x14ac:dyDescent="0.25">
      <c r="A228" t="s">
        <v>393</v>
      </c>
      <c r="B228" s="72">
        <v>39329</v>
      </c>
      <c r="C228">
        <v>321.83999999999997</v>
      </c>
      <c r="D228">
        <v>1</v>
      </c>
    </row>
    <row r="229" spans="1:4" x14ac:dyDescent="0.25">
      <c r="A229" t="s">
        <v>394</v>
      </c>
      <c r="B229" s="72">
        <v>40577</v>
      </c>
      <c r="C229">
        <v>493.46</v>
      </c>
      <c r="D229">
        <v>1</v>
      </c>
    </row>
    <row r="230" spans="1:4" x14ac:dyDescent="0.25">
      <c r="A230" t="s">
        <v>395</v>
      </c>
      <c r="B230" s="72">
        <v>39618</v>
      </c>
      <c r="C230">
        <v>303</v>
      </c>
      <c r="D230">
        <v>1</v>
      </c>
    </row>
    <row r="231" spans="1:4" x14ac:dyDescent="0.25">
      <c r="A231" t="s">
        <v>396</v>
      </c>
      <c r="B231" s="72">
        <v>39394</v>
      </c>
      <c r="C231">
        <v>363.69</v>
      </c>
      <c r="D231">
        <v>1</v>
      </c>
    </row>
    <row r="232" spans="1:4" x14ac:dyDescent="0.25">
      <c r="A232" t="s">
        <v>397</v>
      </c>
      <c r="B232" s="72">
        <v>40478</v>
      </c>
      <c r="C232">
        <v>148.34</v>
      </c>
      <c r="D232">
        <v>1</v>
      </c>
    </row>
    <row r="233" spans="1:4" x14ac:dyDescent="0.25">
      <c r="A233" t="s">
        <v>398</v>
      </c>
      <c r="B233" s="72">
        <v>42541</v>
      </c>
      <c r="C233">
        <v>1042.5</v>
      </c>
      <c r="D233">
        <v>1</v>
      </c>
    </row>
    <row r="234" spans="1:4" x14ac:dyDescent="0.25">
      <c r="A234" t="s">
        <v>399</v>
      </c>
      <c r="B234" s="72">
        <v>42227</v>
      </c>
      <c r="C234">
        <v>4757.8587041199999</v>
      </c>
      <c r="D234">
        <v>1</v>
      </c>
    </row>
    <row r="235" spans="1:4" x14ac:dyDescent="0.25">
      <c r="A235" t="s">
        <v>400</v>
      </c>
      <c r="B235" s="72">
        <v>42117</v>
      </c>
      <c r="C235">
        <v>143.21094002000001</v>
      </c>
      <c r="D235">
        <v>1</v>
      </c>
    </row>
    <row r="236" spans="1:4" x14ac:dyDescent="0.25">
      <c r="A236" t="s">
        <v>401</v>
      </c>
      <c r="B236" s="72">
        <v>39618</v>
      </c>
      <c r="C236">
        <v>562.29</v>
      </c>
      <c r="D236">
        <v>1</v>
      </c>
    </row>
    <row r="237" spans="1:4" x14ac:dyDescent="0.25">
      <c r="A237" t="s">
        <v>402</v>
      </c>
      <c r="B237" s="72">
        <v>39394</v>
      </c>
      <c r="C237">
        <v>363.69</v>
      </c>
      <c r="D237">
        <v>1</v>
      </c>
    </row>
    <row r="238" spans="1:4" x14ac:dyDescent="0.25">
      <c r="A238" t="s">
        <v>403</v>
      </c>
      <c r="B238" s="72">
        <v>42227</v>
      </c>
      <c r="C238">
        <v>4215.8333879900001</v>
      </c>
      <c r="D238">
        <v>1</v>
      </c>
    </row>
    <row r="239" spans="1:4" x14ac:dyDescent="0.25">
      <c r="A239" t="s">
        <v>404</v>
      </c>
      <c r="B239" s="72">
        <v>41277</v>
      </c>
      <c r="C239">
        <v>2807.39</v>
      </c>
      <c r="D239">
        <v>1</v>
      </c>
    </row>
    <row r="240" spans="1:4" x14ac:dyDescent="0.25">
      <c r="A240" t="s">
        <v>405</v>
      </c>
      <c r="B240" s="72">
        <v>41283</v>
      </c>
      <c r="C240">
        <v>2316.58</v>
      </c>
      <c r="D240">
        <v>1</v>
      </c>
    </row>
    <row r="241" spans="1:4" x14ac:dyDescent="0.25">
      <c r="A241" t="s">
        <v>406</v>
      </c>
      <c r="B241" s="72">
        <v>42117</v>
      </c>
      <c r="C241">
        <v>126.70832993</v>
      </c>
      <c r="D241">
        <v>1</v>
      </c>
    </row>
    <row r="242" spans="1:4" x14ac:dyDescent="0.25">
      <c r="A242" t="s">
        <v>407</v>
      </c>
      <c r="B242" s="72">
        <v>41281</v>
      </c>
      <c r="C242">
        <v>3365.22</v>
      </c>
      <c r="D242">
        <v>1</v>
      </c>
    </row>
    <row r="243" spans="1:4" x14ac:dyDescent="0.25">
      <c r="A243" t="s">
        <v>408</v>
      </c>
      <c r="B243" s="72">
        <v>42110</v>
      </c>
      <c r="C243">
        <v>522.89537319999999</v>
      </c>
      <c r="D243">
        <v>1</v>
      </c>
    </row>
    <row r="244" spans="1:4" x14ac:dyDescent="0.25">
      <c r="A244" t="s">
        <v>409</v>
      </c>
      <c r="B244" s="72">
        <v>42117</v>
      </c>
      <c r="C244">
        <v>650.14363865999997</v>
      </c>
      <c r="D244">
        <v>1</v>
      </c>
    </row>
    <row r="245" spans="1:4" x14ac:dyDescent="0.25">
      <c r="A245" t="s">
        <v>410</v>
      </c>
      <c r="B245" s="72">
        <v>42479</v>
      </c>
      <c r="C245">
        <v>517.55154836999998</v>
      </c>
      <c r="D245">
        <v>1</v>
      </c>
    </row>
    <row r="246" spans="1:4" x14ac:dyDescent="0.25">
      <c r="A246" t="s">
        <v>411</v>
      </c>
      <c r="B246" s="72">
        <v>42110</v>
      </c>
      <c r="C246">
        <v>419.85620591000003</v>
      </c>
      <c r="D246">
        <v>1</v>
      </c>
    </row>
    <row r="247" spans="1:4" x14ac:dyDescent="0.25">
      <c r="A247" t="s">
        <v>412</v>
      </c>
      <c r="B247" s="72">
        <v>41444</v>
      </c>
      <c r="C247">
        <v>1386.8</v>
      </c>
      <c r="D247">
        <v>1</v>
      </c>
    </row>
    <row r="248" spans="1:4" x14ac:dyDescent="0.25">
      <c r="A248" t="s">
        <v>413</v>
      </c>
      <c r="B248" s="72">
        <v>42030</v>
      </c>
      <c r="C248">
        <v>227.86509369000001</v>
      </c>
      <c r="D248">
        <v>1</v>
      </c>
    </row>
    <row r="249" spans="1:4" x14ac:dyDescent="0.25">
      <c r="A249" t="s">
        <v>414</v>
      </c>
      <c r="B249" s="72">
        <v>39604</v>
      </c>
      <c r="C249">
        <v>233.37</v>
      </c>
      <c r="D249">
        <v>1</v>
      </c>
    </row>
    <row r="250" spans="1:4" x14ac:dyDescent="0.25">
      <c r="A250" t="s">
        <v>415</v>
      </c>
      <c r="B250" s="72">
        <v>42339</v>
      </c>
      <c r="C250">
        <v>487.53221783999999</v>
      </c>
      <c r="D250">
        <v>1</v>
      </c>
    </row>
    <row r="251" spans="1:4" x14ac:dyDescent="0.25">
      <c r="A251" t="s">
        <v>416</v>
      </c>
      <c r="B251" s="72">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2023-06-19T06:41:41Z</cp:lastPrinted>
  <dcterms:created xsi:type="dcterms:W3CDTF">2009-10-22T12:59:48Z</dcterms:created>
  <dcterms:modified xsi:type="dcterms:W3CDTF">2023-06-19T06:42:36Z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